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OKudelkina\Desktop\мои документы\Фонды\2025\февраль\"/>
    </mc:Choice>
  </mc:AlternateContent>
  <bookViews>
    <workbookView xWindow="360" yWindow="12" windowWidth="20952" windowHeight="9720" activeTab="1"/>
  </bookViews>
  <sheets>
    <sheet name="Диаграмма1" sheetId="1" state="hidden" r:id="rId1"/>
    <sheet name="Лист2" sheetId="2" r:id="rId2"/>
    <sheet name="Лист1" sheetId="3" r:id="rId3"/>
  </sheets>
  <definedNames>
    <definedName name="_xlnm.Print_Area" localSheetId="1">Лист2!$A$1:$DN$146</definedName>
  </definedNames>
  <calcPr calcId="152511" refMode="R1C1"/>
</workbook>
</file>

<file path=xl/calcChain.xml><?xml version="1.0" encoding="utf-8"?>
<calcChain xmlns="http://schemas.openxmlformats.org/spreadsheetml/2006/main">
  <c r="DK142" i="2" l="1"/>
  <c r="DI142" i="2"/>
  <c r="DH142" i="2"/>
  <c r="DJ142" i="2" s="1"/>
  <c r="DG142" i="2"/>
  <c r="DF142" i="2"/>
  <c r="DH140" i="2"/>
  <c r="DF140" i="2"/>
  <c r="DD140" i="2"/>
  <c r="DB140" i="2"/>
  <c r="CZ140" i="2"/>
  <c r="CX140" i="2"/>
  <c r="CV140" i="2"/>
  <c r="CT140" i="2"/>
  <c r="CR140" i="2"/>
  <c r="CP140" i="2"/>
  <c r="CL140" i="2"/>
  <c r="CJ140" i="2"/>
  <c r="CH140" i="2"/>
  <c r="CF140" i="2"/>
  <c r="CD140" i="2"/>
  <c r="CB140" i="2"/>
  <c r="BZ140" i="2"/>
  <c r="BX140" i="2"/>
  <c r="BT140" i="2"/>
  <c r="BR140" i="2"/>
  <c r="BP140" i="2"/>
  <c r="BN140" i="2"/>
  <c r="BL140" i="2"/>
  <c r="BJ140" i="2"/>
  <c r="BH140" i="2"/>
  <c r="BF140" i="2"/>
  <c r="BD140" i="2"/>
  <c r="BB140" i="2"/>
  <c r="AZ140" i="2"/>
  <c r="AX140" i="2"/>
  <c r="AV140" i="2"/>
  <c r="AT140" i="2"/>
  <c r="AR140" i="2"/>
  <c r="AP140" i="2"/>
  <c r="AN140" i="2"/>
  <c r="AL140" i="2"/>
  <c r="AJ140" i="2"/>
  <c r="AH140" i="2"/>
  <c r="AF140" i="2"/>
  <c r="AD140" i="2"/>
  <c r="AB140" i="2"/>
  <c r="Z140" i="2"/>
  <c r="X140" i="2"/>
  <c r="V140" i="2"/>
  <c r="T140" i="2"/>
  <c r="R140" i="2"/>
  <c r="P140" i="2"/>
  <c r="N140" i="2"/>
  <c r="L140" i="2"/>
  <c r="J140" i="2"/>
  <c r="H140" i="2"/>
  <c r="F140" i="2"/>
  <c r="D140" i="2"/>
  <c r="B140" i="2"/>
  <c r="DE138" i="2"/>
  <c r="DD138" i="2"/>
  <c r="DC138" i="2"/>
  <c r="DB138" i="2"/>
  <c r="DA138" i="2"/>
  <c r="CZ138" i="2"/>
  <c r="CY138" i="2"/>
  <c r="CX138" i="2"/>
  <c r="CW138" i="2"/>
  <c r="CV138" i="2"/>
  <c r="CU138" i="2"/>
  <c r="CT138" i="2"/>
  <c r="CS138" i="2"/>
  <c r="CR138" i="2"/>
  <c r="CQ138" i="2"/>
  <c r="CP138" i="2"/>
  <c r="CO138" i="2"/>
  <c r="CN138" i="2"/>
  <c r="CM138" i="2"/>
  <c r="CL138" i="2"/>
  <c r="CK138" i="2"/>
  <c r="CJ138" i="2"/>
  <c r="CI138" i="2"/>
  <c r="CH138" i="2"/>
  <c r="CG138" i="2"/>
  <c r="CF138" i="2"/>
  <c r="CE138" i="2"/>
  <c r="CD138" i="2"/>
  <c r="CC138" i="2"/>
  <c r="CB138" i="2"/>
  <c r="CA138" i="2"/>
  <c r="BZ138" i="2"/>
  <c r="BY138" i="2"/>
  <c r="BX138" i="2"/>
  <c r="BW138" i="2"/>
  <c r="BV138" i="2"/>
  <c r="BU138" i="2"/>
  <c r="BT138" i="2"/>
  <c r="BS138" i="2"/>
  <c r="BR138" i="2"/>
  <c r="BQ138" i="2"/>
  <c r="BP138" i="2"/>
  <c r="BO138" i="2"/>
  <c r="BN138" i="2"/>
  <c r="BM138" i="2"/>
  <c r="BL138" i="2"/>
  <c r="BK138" i="2"/>
  <c r="BJ138" i="2"/>
  <c r="BI138" i="2"/>
  <c r="BH138" i="2"/>
  <c r="BG138" i="2"/>
  <c r="BF138" i="2"/>
  <c r="BE138" i="2"/>
  <c r="BD138" i="2"/>
  <c r="BC138" i="2"/>
  <c r="BB138" i="2"/>
  <c r="BA138" i="2"/>
  <c r="AZ138" i="2"/>
  <c r="AY138" i="2"/>
  <c r="AX138" i="2"/>
  <c r="AW138" i="2"/>
  <c r="AV138" i="2"/>
  <c r="AU138" i="2"/>
  <c r="AT138" i="2"/>
  <c r="AS138" i="2"/>
  <c r="AR138" i="2"/>
  <c r="AQ138" i="2"/>
  <c r="AP138" i="2"/>
  <c r="AO138" i="2"/>
  <c r="AN138" i="2"/>
  <c r="AM138" i="2"/>
  <c r="AL138" i="2"/>
  <c r="AK138" i="2"/>
  <c r="AJ138" i="2"/>
  <c r="AI138" i="2"/>
  <c r="AH138" i="2"/>
  <c r="AG138" i="2"/>
  <c r="AF138" i="2"/>
  <c r="AE138" i="2"/>
  <c r="AD138" i="2"/>
  <c r="AC138" i="2"/>
  <c r="AB138" i="2"/>
  <c r="AA138" i="2"/>
  <c r="Z138" i="2"/>
  <c r="Y138" i="2"/>
  <c r="X138" i="2"/>
  <c r="W138" i="2"/>
  <c r="V138" i="2"/>
  <c r="U138" i="2"/>
  <c r="T138" i="2"/>
  <c r="S138" i="2"/>
  <c r="R138" i="2"/>
  <c r="Q138" i="2"/>
  <c r="P138" i="2"/>
  <c r="O138" i="2"/>
  <c r="N138" i="2"/>
  <c r="M138" i="2"/>
  <c r="L138" i="2"/>
  <c r="K138" i="2"/>
  <c r="J138" i="2"/>
  <c r="I138" i="2"/>
  <c r="H138" i="2"/>
  <c r="G138" i="2"/>
  <c r="F138" i="2"/>
  <c r="E138" i="2"/>
  <c r="D138" i="2"/>
  <c r="C138" i="2"/>
  <c r="B138" i="2"/>
  <c r="DH138" i="2" s="1"/>
  <c r="DI137" i="2"/>
  <c r="DH137" i="2"/>
  <c r="DI136" i="2"/>
  <c r="DK136" i="2" s="1"/>
  <c r="DH136" i="2"/>
  <c r="DJ136" i="2" s="1"/>
  <c r="DG136" i="2"/>
  <c r="DF136" i="2"/>
  <c r="DK135" i="2"/>
  <c r="DJ135" i="2"/>
  <c r="DI135" i="2"/>
  <c r="DH135" i="2"/>
  <c r="DG135" i="2"/>
  <c r="DF135" i="2"/>
  <c r="DI134" i="2"/>
  <c r="DH134" i="2"/>
  <c r="DG134" i="2"/>
  <c r="DF134" i="2"/>
  <c r="DI133" i="2"/>
  <c r="DK133" i="2" s="1"/>
  <c r="DH133" i="2"/>
  <c r="DJ133" i="2" s="1"/>
  <c r="DG133" i="2"/>
  <c r="DF133" i="2"/>
  <c r="DI132" i="2"/>
  <c r="DH132" i="2"/>
  <c r="DG132" i="2"/>
  <c r="DF132" i="2"/>
  <c r="DI131" i="2"/>
  <c r="DK131" i="2" s="1"/>
  <c r="DH131" i="2"/>
  <c r="DJ131" i="2" s="1"/>
  <c r="DG131" i="2"/>
  <c r="DF131" i="2"/>
  <c r="DI130" i="2"/>
  <c r="DH130" i="2"/>
  <c r="DG130" i="2"/>
  <c r="DF130" i="2"/>
  <c r="DK129" i="2"/>
  <c r="DJ129" i="2"/>
  <c r="DI129" i="2"/>
  <c r="DH129" i="2"/>
  <c r="DG129" i="2"/>
  <c r="DF129" i="2"/>
  <c r="DI128" i="2"/>
  <c r="DH128" i="2"/>
  <c r="DG128" i="2"/>
  <c r="DF128" i="2"/>
  <c r="DK127" i="2"/>
  <c r="DJ127" i="2"/>
  <c r="DI127" i="2"/>
  <c r="DH127" i="2"/>
  <c r="DG127" i="2"/>
  <c r="DF127" i="2"/>
  <c r="DI126" i="2"/>
  <c r="DH126" i="2"/>
  <c r="DG126" i="2"/>
  <c r="DF126" i="2"/>
  <c r="DI125" i="2"/>
  <c r="DK125" i="2" s="1"/>
  <c r="DH125" i="2"/>
  <c r="DJ125" i="2" s="1"/>
  <c r="DG125" i="2"/>
  <c r="DF125" i="2"/>
  <c r="DI124" i="2"/>
  <c r="DH124" i="2"/>
  <c r="DG124" i="2"/>
  <c r="DF124" i="2"/>
  <c r="DI123" i="2"/>
  <c r="DK123" i="2" s="1"/>
  <c r="DH123" i="2"/>
  <c r="DJ123" i="2" s="1"/>
  <c r="DG123" i="2"/>
  <c r="DF123" i="2"/>
  <c r="DI122" i="2"/>
  <c r="DH122" i="2"/>
  <c r="DG122" i="2"/>
  <c r="DF122" i="2"/>
  <c r="DK121" i="2"/>
  <c r="DJ121" i="2"/>
  <c r="DI121" i="2"/>
  <c r="DH121" i="2"/>
  <c r="DG121" i="2"/>
  <c r="DF121" i="2"/>
  <c r="DI120" i="2"/>
  <c r="DH120" i="2"/>
  <c r="DG120" i="2"/>
  <c r="DF120" i="2"/>
  <c r="DK119" i="2"/>
  <c r="DJ119" i="2"/>
  <c r="DI119" i="2"/>
  <c r="DH119" i="2"/>
  <c r="DG119" i="2"/>
  <c r="DF119" i="2"/>
  <c r="DI118" i="2"/>
  <c r="DH118" i="2"/>
  <c r="DG118" i="2"/>
  <c r="DF118" i="2"/>
  <c r="DI117" i="2"/>
  <c r="DK117" i="2" s="1"/>
  <c r="DH117" i="2"/>
  <c r="DJ117" i="2" s="1"/>
  <c r="DG117" i="2"/>
  <c r="DF117" i="2"/>
  <c r="DI116" i="2"/>
  <c r="DH116" i="2"/>
  <c r="DG116" i="2"/>
  <c r="DF116" i="2"/>
  <c r="DI115" i="2"/>
  <c r="DK115" i="2" s="1"/>
  <c r="DH115" i="2"/>
  <c r="DJ115" i="2" s="1"/>
  <c r="DG115" i="2"/>
  <c r="DF115" i="2"/>
  <c r="DI114" i="2"/>
  <c r="DH114" i="2"/>
  <c r="DG114" i="2"/>
  <c r="DF114" i="2"/>
  <c r="DK113" i="2"/>
  <c r="DJ113" i="2"/>
  <c r="DI113" i="2"/>
  <c r="DH113" i="2"/>
  <c r="DG113" i="2"/>
  <c r="DF113" i="2"/>
  <c r="DI112" i="2"/>
  <c r="DH112" i="2"/>
  <c r="DG112" i="2"/>
  <c r="DF112" i="2"/>
  <c r="DK111" i="2"/>
  <c r="DJ111" i="2"/>
  <c r="DI111" i="2"/>
  <c r="DH111" i="2"/>
  <c r="DG111" i="2"/>
  <c r="DF111" i="2"/>
  <c r="DI110" i="2"/>
  <c r="DH110" i="2"/>
  <c r="DG110" i="2"/>
  <c r="DF110" i="2"/>
  <c r="DI109" i="2"/>
  <c r="DK109" i="2" s="1"/>
  <c r="DH109" i="2"/>
  <c r="DJ109" i="2" s="1"/>
  <c r="DG109" i="2"/>
  <c r="DF109" i="2"/>
  <c r="DI108" i="2"/>
  <c r="DH108" i="2"/>
  <c r="DG108" i="2"/>
  <c r="DF108" i="2"/>
  <c r="DI107" i="2"/>
  <c r="DK107" i="2" s="1"/>
  <c r="DH107" i="2"/>
  <c r="DJ107" i="2" s="1"/>
  <c r="DG107" i="2"/>
  <c r="DF107" i="2"/>
  <c r="DI106" i="2"/>
  <c r="DH106" i="2"/>
  <c r="DG106" i="2"/>
  <c r="DF106" i="2"/>
  <c r="DK105" i="2"/>
  <c r="DJ105" i="2"/>
  <c r="DI105" i="2"/>
  <c r="DH105" i="2"/>
  <c r="DG105" i="2"/>
  <c r="DF105" i="2"/>
  <c r="DI104" i="2"/>
  <c r="DH104" i="2"/>
  <c r="DG104" i="2"/>
  <c r="DF104" i="2"/>
  <c r="DK103" i="2"/>
  <c r="DJ103" i="2"/>
  <c r="DI103" i="2"/>
  <c r="DH103" i="2"/>
  <c r="DG103" i="2"/>
  <c r="DF103" i="2"/>
  <c r="DI102" i="2"/>
  <c r="DH102" i="2"/>
  <c r="DG102" i="2"/>
  <c r="DF102" i="2"/>
  <c r="DI101" i="2"/>
  <c r="DK101" i="2" s="1"/>
  <c r="DH101" i="2"/>
  <c r="DJ101" i="2" s="1"/>
  <c r="DG101" i="2"/>
  <c r="DF101" i="2"/>
  <c r="DI100" i="2"/>
  <c r="DH100" i="2"/>
  <c r="DG100" i="2"/>
  <c r="DF100" i="2"/>
  <c r="DI99" i="2"/>
  <c r="DK99" i="2" s="1"/>
  <c r="DH99" i="2"/>
  <c r="DJ99" i="2" s="1"/>
  <c r="DG99" i="2"/>
  <c r="DF99" i="2"/>
  <c r="DI98" i="2"/>
  <c r="DH98" i="2"/>
  <c r="DG98" i="2"/>
  <c r="DF98" i="2"/>
  <c r="DK97" i="2"/>
  <c r="DJ97" i="2"/>
  <c r="DI97" i="2"/>
  <c r="DH97" i="2"/>
  <c r="DG97" i="2"/>
  <c r="DF97" i="2"/>
  <c r="DI96" i="2"/>
  <c r="DH96" i="2"/>
  <c r="DG96" i="2"/>
  <c r="DF96" i="2"/>
  <c r="DK95" i="2"/>
  <c r="DJ95" i="2"/>
  <c r="DI95" i="2"/>
  <c r="DH95" i="2"/>
  <c r="DG95" i="2"/>
  <c r="DF95" i="2"/>
  <c r="DI94" i="2"/>
  <c r="DH94" i="2"/>
  <c r="DG94" i="2"/>
  <c r="DF94" i="2"/>
  <c r="DI93" i="2"/>
  <c r="DK93" i="2" s="1"/>
  <c r="DH93" i="2"/>
  <c r="DJ93" i="2" s="1"/>
  <c r="DG93" i="2"/>
  <c r="DF93" i="2"/>
  <c r="DI92" i="2"/>
  <c r="DH92" i="2"/>
  <c r="DG92" i="2"/>
  <c r="DF92" i="2"/>
  <c r="DI91" i="2"/>
  <c r="DK91" i="2" s="1"/>
  <c r="DH91" i="2"/>
  <c r="DJ91" i="2" s="1"/>
  <c r="DG91" i="2"/>
  <c r="DF91" i="2"/>
  <c r="DI90" i="2"/>
  <c r="DH90" i="2"/>
  <c r="DG90" i="2"/>
  <c r="DF90" i="2"/>
  <c r="DK89" i="2"/>
  <c r="DJ89" i="2"/>
  <c r="DI89" i="2"/>
  <c r="DH89" i="2"/>
  <c r="DG89" i="2"/>
  <c r="DF89" i="2"/>
  <c r="DI88" i="2"/>
  <c r="DH88" i="2"/>
  <c r="DG88" i="2"/>
  <c r="DF88" i="2"/>
  <c r="DK87" i="2"/>
  <c r="DJ87" i="2"/>
  <c r="DI87" i="2"/>
  <c r="DH87" i="2"/>
  <c r="DG87" i="2"/>
  <c r="DF87" i="2"/>
  <c r="DI86" i="2"/>
  <c r="DH86" i="2"/>
  <c r="DG86" i="2"/>
  <c r="DF86" i="2"/>
  <c r="DI85" i="2"/>
  <c r="DK85" i="2" s="1"/>
  <c r="DH85" i="2"/>
  <c r="DJ85" i="2" s="1"/>
  <c r="DG85" i="2"/>
  <c r="DF85" i="2"/>
  <c r="DI84" i="2"/>
  <c r="DH84" i="2"/>
  <c r="DG84" i="2"/>
  <c r="DF84" i="2"/>
  <c r="DI83" i="2"/>
  <c r="DK83" i="2" s="1"/>
  <c r="DH83" i="2"/>
  <c r="DJ83" i="2" s="1"/>
  <c r="DG83" i="2"/>
  <c r="DF83" i="2"/>
  <c r="DI82" i="2"/>
  <c r="DH82" i="2"/>
  <c r="DG82" i="2"/>
  <c r="DF82" i="2"/>
  <c r="DK81" i="2"/>
  <c r="DJ81" i="2"/>
  <c r="DI81" i="2"/>
  <c r="DH81" i="2"/>
  <c r="DG81" i="2"/>
  <c r="DF81" i="2"/>
  <c r="DI80" i="2"/>
  <c r="DH80" i="2"/>
  <c r="DG80" i="2"/>
  <c r="DF80" i="2"/>
  <c r="DK79" i="2"/>
  <c r="DJ79" i="2"/>
  <c r="DI79" i="2"/>
  <c r="DH79" i="2"/>
  <c r="DG79" i="2"/>
  <c r="DF79" i="2"/>
  <c r="DI78" i="2"/>
  <c r="DH78" i="2"/>
  <c r="DG78" i="2"/>
  <c r="DF78" i="2"/>
  <c r="DI77" i="2"/>
  <c r="DK77" i="2" s="1"/>
  <c r="DH77" i="2"/>
  <c r="DJ77" i="2" s="1"/>
  <c r="DG77" i="2"/>
  <c r="DF77" i="2"/>
  <c r="DI76" i="2"/>
  <c r="DH76" i="2"/>
  <c r="DG76" i="2"/>
  <c r="DF76" i="2"/>
  <c r="DI75" i="2"/>
  <c r="DK75" i="2" s="1"/>
  <c r="DH75" i="2"/>
  <c r="DJ75" i="2" s="1"/>
  <c r="DG75" i="2"/>
  <c r="DF75" i="2"/>
  <c r="DI74" i="2"/>
  <c r="DH74" i="2"/>
  <c r="DG74" i="2"/>
  <c r="DF74" i="2"/>
  <c r="DK73" i="2"/>
  <c r="DJ73" i="2"/>
  <c r="DI73" i="2"/>
  <c r="DH73" i="2"/>
  <c r="DG73" i="2"/>
  <c r="DF73" i="2"/>
  <c r="DI72" i="2"/>
  <c r="DH72" i="2"/>
  <c r="DG72" i="2"/>
  <c r="DF72" i="2"/>
  <c r="DK71" i="2"/>
  <c r="DJ71" i="2"/>
  <c r="DI71" i="2"/>
  <c r="DH71" i="2"/>
  <c r="DG71" i="2"/>
  <c r="DF71" i="2"/>
  <c r="DI70" i="2"/>
  <c r="DH70" i="2"/>
  <c r="DG70" i="2"/>
  <c r="DF70" i="2"/>
  <c r="DI69" i="2"/>
  <c r="DK69" i="2" s="1"/>
  <c r="DK138" i="2" s="1"/>
  <c r="DH69" i="2"/>
  <c r="DJ69" i="2" s="1"/>
  <c r="DJ138" i="2" s="1"/>
  <c r="DG69" i="2"/>
  <c r="DF69" i="2"/>
  <c r="DE68" i="2"/>
  <c r="DD68" i="2"/>
  <c r="DC68" i="2"/>
  <c r="DB68" i="2"/>
  <c r="DA68" i="2"/>
  <c r="CZ68" i="2"/>
  <c r="CY68" i="2"/>
  <c r="CX68" i="2"/>
  <c r="CW68" i="2"/>
  <c r="CV68" i="2"/>
  <c r="CU68" i="2"/>
  <c r="CT68" i="2"/>
  <c r="CS68" i="2"/>
  <c r="CR68" i="2"/>
  <c r="CQ68" i="2"/>
  <c r="CP68" i="2"/>
  <c r="CO68" i="2"/>
  <c r="CN68" i="2"/>
  <c r="CM68" i="2"/>
  <c r="CL68" i="2"/>
  <c r="CK68" i="2"/>
  <c r="CJ68" i="2"/>
  <c r="CI68" i="2"/>
  <c r="CH68" i="2"/>
  <c r="CG68" i="2"/>
  <c r="CF68" i="2"/>
  <c r="CE68" i="2"/>
  <c r="CD68" i="2"/>
  <c r="CC68" i="2"/>
  <c r="CB68" i="2"/>
  <c r="CA68" i="2"/>
  <c r="BZ68" i="2"/>
  <c r="BY68" i="2"/>
  <c r="BX68" i="2"/>
  <c r="BW68" i="2"/>
  <c r="BV68" i="2"/>
  <c r="BU68" i="2"/>
  <c r="BT68" i="2"/>
  <c r="BS68" i="2"/>
  <c r="BR68" i="2"/>
  <c r="BQ68" i="2"/>
  <c r="BP68" i="2"/>
  <c r="BO68" i="2"/>
  <c r="BN68" i="2"/>
  <c r="BM68" i="2"/>
  <c r="BL68" i="2"/>
  <c r="BK68" i="2"/>
  <c r="BJ68" i="2"/>
  <c r="BI68" i="2"/>
  <c r="BH68" i="2"/>
  <c r="BG68" i="2"/>
  <c r="BF68" i="2"/>
  <c r="BE68" i="2"/>
  <c r="BD68" i="2"/>
  <c r="BC68" i="2"/>
  <c r="BB68" i="2"/>
  <c r="BA68" i="2"/>
  <c r="AZ68" i="2"/>
  <c r="AY68" i="2"/>
  <c r="AX68" i="2"/>
  <c r="AW68" i="2"/>
  <c r="AV68" i="2"/>
  <c r="AU68" i="2"/>
  <c r="AT68" i="2"/>
  <c r="AS68" i="2"/>
  <c r="AR68" i="2"/>
  <c r="AQ68" i="2"/>
  <c r="AP68" i="2"/>
  <c r="AO68" i="2"/>
  <c r="AN68" i="2"/>
  <c r="AM68" i="2"/>
  <c r="AL68" i="2"/>
  <c r="AK68" i="2"/>
  <c r="AJ68" i="2"/>
  <c r="AI68" i="2"/>
  <c r="AH68" i="2"/>
  <c r="AG68" i="2"/>
  <c r="AF68" i="2"/>
  <c r="AE68" i="2"/>
  <c r="AD68" i="2"/>
  <c r="AC68" i="2"/>
  <c r="AB68" i="2"/>
  <c r="AA68" i="2"/>
  <c r="Z68" i="2"/>
  <c r="Y68" i="2"/>
  <c r="X68" i="2"/>
  <c r="W68" i="2"/>
  <c r="V68" i="2"/>
  <c r="U68" i="2"/>
  <c r="T68" i="2"/>
  <c r="S68" i="2"/>
  <c r="R68" i="2"/>
  <c r="Q68" i="2"/>
  <c r="P68" i="2"/>
  <c r="O68" i="2"/>
  <c r="N68" i="2"/>
  <c r="M68" i="2"/>
  <c r="L68" i="2"/>
  <c r="K68" i="2"/>
  <c r="J68" i="2"/>
  <c r="I68" i="2"/>
  <c r="H68" i="2"/>
  <c r="G68" i="2"/>
  <c r="F68" i="2"/>
  <c r="E68" i="2"/>
  <c r="D68" i="2"/>
  <c r="C68" i="2"/>
  <c r="DI68" i="2" s="1"/>
  <c r="DK68" i="2" s="1"/>
  <c r="B68" i="2"/>
  <c r="DH68" i="2" s="1"/>
  <c r="DJ68" i="2" s="1"/>
  <c r="A67" i="2"/>
  <c r="DK65" i="2"/>
  <c r="DJ65" i="2"/>
  <c r="DI64" i="2"/>
  <c r="DK64" i="2" s="1"/>
  <c r="DH64" i="2"/>
  <c r="DJ64" i="2" s="1"/>
  <c r="DI63" i="2"/>
  <c r="DK63" i="2" s="1"/>
  <c r="DH63" i="2"/>
  <c r="DJ63" i="2" s="1"/>
  <c r="DI62" i="2"/>
  <c r="DK62" i="2" s="1"/>
  <c r="DH62" i="2"/>
  <c r="DJ62" i="2" s="1"/>
  <c r="DI61" i="2"/>
  <c r="DK61" i="2" s="1"/>
  <c r="DH61" i="2"/>
  <c r="DJ61" i="2" s="1"/>
  <c r="DI60" i="2"/>
  <c r="DK60" i="2" s="1"/>
  <c r="DH60" i="2"/>
  <c r="DJ60" i="2" s="1"/>
  <c r="DI59" i="2"/>
  <c r="DK59" i="2" s="1"/>
  <c r="DH59" i="2"/>
  <c r="DJ59" i="2" s="1"/>
  <c r="CZ57" i="2"/>
  <c r="CX57" i="2"/>
  <c r="CV57" i="2"/>
  <c r="CT57" i="2"/>
  <c r="CR57" i="2"/>
  <c r="CP57" i="2"/>
  <c r="CN57" i="2"/>
  <c r="CN140" i="2" s="1"/>
  <c r="CL57" i="2"/>
  <c r="CJ57" i="2"/>
  <c r="CH57" i="2"/>
  <c r="CF57" i="2"/>
  <c r="CD57" i="2"/>
  <c r="CB57" i="2"/>
  <c r="BZ57" i="2"/>
  <c r="BX57" i="2"/>
  <c r="BV57" i="2"/>
  <c r="BV140" i="2" s="1"/>
  <c r="BT57" i="2"/>
  <c r="BR57" i="2"/>
  <c r="BP57" i="2"/>
  <c r="BN57" i="2"/>
  <c r="BL57" i="2"/>
  <c r="BJ57" i="2"/>
  <c r="BH57" i="2"/>
  <c r="BF57" i="2"/>
  <c r="BB57" i="2"/>
  <c r="AZ57" i="2"/>
  <c r="AX57" i="2"/>
  <c r="AV57" i="2"/>
  <c r="AT57" i="2"/>
  <c r="AR57" i="2"/>
  <c r="AP57" i="2"/>
  <c r="AN57" i="2"/>
  <c r="AL57" i="2"/>
  <c r="AJ57" i="2"/>
  <c r="AH57" i="2"/>
  <c r="AF57" i="2"/>
  <c r="AD57" i="2"/>
  <c r="AB57" i="2"/>
  <c r="Z57" i="2"/>
  <c r="X57" i="2"/>
  <c r="V57" i="2"/>
  <c r="T57" i="2"/>
  <c r="R57" i="2"/>
  <c r="P57" i="2"/>
  <c r="N57" i="2"/>
  <c r="L57" i="2"/>
  <c r="J57" i="2"/>
  <c r="H57" i="2"/>
  <c r="F57" i="2"/>
  <c r="D57" i="2"/>
  <c r="B57" i="2"/>
  <c r="DE55" i="2"/>
  <c r="DD55" i="2"/>
  <c r="DC55" i="2"/>
  <c r="DB55" i="2"/>
  <c r="DA55" i="2"/>
  <c r="CZ55" i="2"/>
  <c r="CY55" i="2"/>
  <c r="CX55" i="2"/>
  <c r="CW55" i="2"/>
  <c r="CV55" i="2"/>
  <c r="CU55" i="2"/>
  <c r="CT55" i="2"/>
  <c r="CS55" i="2"/>
  <c r="CR55" i="2"/>
  <c r="CQ55" i="2"/>
  <c r="CP55" i="2"/>
  <c r="CO55" i="2"/>
  <c r="CN55" i="2"/>
  <c r="CM55" i="2"/>
  <c r="CL55" i="2"/>
  <c r="CK55" i="2"/>
  <c r="CJ55" i="2"/>
  <c r="CI55" i="2"/>
  <c r="CH55" i="2"/>
  <c r="CG55" i="2"/>
  <c r="CF55" i="2"/>
  <c r="CE55" i="2"/>
  <c r="CD55" i="2"/>
  <c r="CC55" i="2"/>
  <c r="CB55" i="2"/>
  <c r="CA55" i="2"/>
  <c r="BZ55" i="2"/>
  <c r="BY55" i="2"/>
  <c r="BX55" i="2"/>
  <c r="BW55" i="2"/>
  <c r="BV55" i="2"/>
  <c r="BU55" i="2"/>
  <c r="BT55" i="2"/>
  <c r="BS55" i="2"/>
  <c r="BR55" i="2"/>
  <c r="BQ55" i="2"/>
  <c r="BP55" i="2"/>
  <c r="BO55" i="2"/>
  <c r="BN55" i="2"/>
  <c r="BM55" i="2"/>
  <c r="BL55" i="2"/>
  <c r="BK55" i="2"/>
  <c r="BJ55" i="2"/>
  <c r="BI55" i="2"/>
  <c r="BH55" i="2"/>
  <c r="BG55" i="2"/>
  <c r="BF55" i="2"/>
  <c r="BE55" i="2"/>
  <c r="BD55" i="2"/>
  <c r="BC55" i="2"/>
  <c r="BB55" i="2"/>
  <c r="BA55" i="2"/>
  <c r="AZ55" i="2"/>
  <c r="AY55" i="2"/>
  <c r="AX55" i="2"/>
  <c r="AW55" i="2"/>
  <c r="AV55" i="2"/>
  <c r="AU55" i="2"/>
  <c r="AT55" i="2"/>
  <c r="AS55" i="2"/>
  <c r="AR55" i="2"/>
  <c r="AQ55" i="2"/>
  <c r="AP55" i="2"/>
  <c r="AO55" i="2"/>
  <c r="AN55" i="2"/>
  <c r="AM55" i="2"/>
  <c r="AL55" i="2"/>
  <c r="AK55" i="2"/>
  <c r="AJ55" i="2"/>
  <c r="AI55" i="2"/>
  <c r="AH55" i="2"/>
  <c r="AG55" i="2"/>
  <c r="AF55" i="2"/>
  <c r="AE55" i="2"/>
  <c r="AD55" i="2"/>
  <c r="AC55" i="2"/>
  <c r="AB55" i="2"/>
  <c r="AA55" i="2"/>
  <c r="Z55" i="2"/>
  <c r="Y55" i="2"/>
  <c r="X55" i="2"/>
  <c r="W55" i="2"/>
  <c r="V55" i="2"/>
  <c r="U55" i="2"/>
  <c r="T55" i="2"/>
  <c r="S55" i="2"/>
  <c r="R55" i="2"/>
  <c r="Q55" i="2"/>
  <c r="P55" i="2"/>
  <c r="O55" i="2"/>
  <c r="N55" i="2"/>
  <c r="M55" i="2"/>
  <c r="L55" i="2"/>
  <c r="K55" i="2"/>
  <c r="J55" i="2"/>
  <c r="I55" i="2"/>
  <c r="H55" i="2"/>
  <c r="G55" i="2"/>
  <c r="F55" i="2"/>
  <c r="E55" i="2"/>
  <c r="D55" i="2"/>
  <c r="C55" i="2"/>
  <c r="DI55" i="2" s="1"/>
  <c r="B55" i="2"/>
  <c r="DH55" i="2" s="1"/>
  <c r="DI54" i="2"/>
  <c r="DK54" i="2" s="1"/>
  <c r="DH54" i="2"/>
  <c r="DJ54" i="2" s="1"/>
  <c r="DG54" i="2"/>
  <c r="DF54" i="2"/>
  <c r="DK53" i="2"/>
  <c r="DI53" i="2"/>
  <c r="DH53" i="2"/>
  <c r="DJ53" i="2" s="1"/>
  <c r="DG53" i="2"/>
  <c r="DF53" i="2"/>
  <c r="DJ52" i="2"/>
  <c r="DI52" i="2"/>
  <c r="DK52" i="2" s="1"/>
  <c r="DH52" i="2"/>
  <c r="DG52" i="2"/>
  <c r="DF52" i="2"/>
  <c r="DG51" i="2"/>
  <c r="DF51" i="2"/>
  <c r="DJ50" i="2"/>
  <c r="DI50" i="2"/>
  <c r="DK50" i="2" s="1"/>
  <c r="DH50" i="2"/>
  <c r="DG50" i="2"/>
  <c r="DF50" i="2"/>
  <c r="DI49" i="2"/>
  <c r="DK49" i="2" s="1"/>
  <c r="DH49" i="2"/>
  <c r="DJ49" i="2" s="1"/>
  <c r="DG49" i="2"/>
  <c r="DF49" i="2"/>
  <c r="DI48" i="2"/>
  <c r="DK48" i="2" s="1"/>
  <c r="DH48" i="2"/>
  <c r="DJ48" i="2" s="1"/>
  <c r="DG48" i="2"/>
  <c r="DF48" i="2"/>
  <c r="DK47" i="2"/>
  <c r="DI47" i="2"/>
  <c r="DH47" i="2"/>
  <c r="DJ47" i="2" s="1"/>
  <c r="DG47" i="2"/>
  <c r="DF47" i="2"/>
  <c r="DJ46" i="2"/>
  <c r="DI46" i="2"/>
  <c r="DK46" i="2" s="1"/>
  <c r="DH46" i="2"/>
  <c r="DG46" i="2"/>
  <c r="DF46" i="2"/>
  <c r="DI45" i="2"/>
  <c r="DK45" i="2" s="1"/>
  <c r="DH45" i="2"/>
  <c r="DJ45" i="2" s="1"/>
  <c r="DG45" i="2"/>
  <c r="DF45" i="2"/>
  <c r="DI44" i="2"/>
  <c r="DK44" i="2" s="1"/>
  <c r="DH44" i="2"/>
  <c r="DJ44" i="2" s="1"/>
  <c r="DG44" i="2"/>
  <c r="DF44" i="2"/>
  <c r="DK43" i="2"/>
  <c r="DI43" i="2"/>
  <c r="DH43" i="2"/>
  <c r="DJ43" i="2" s="1"/>
  <c r="DG43" i="2"/>
  <c r="DF43" i="2"/>
  <c r="DJ42" i="2"/>
  <c r="DI42" i="2"/>
  <c r="DK42" i="2" s="1"/>
  <c r="DH42" i="2"/>
  <c r="DG42" i="2"/>
  <c r="DF42" i="2"/>
  <c r="DI41" i="2"/>
  <c r="DK41" i="2" s="1"/>
  <c r="DH41" i="2"/>
  <c r="DJ41" i="2" s="1"/>
  <c r="DG41" i="2"/>
  <c r="DF41" i="2"/>
  <c r="DI40" i="2"/>
  <c r="DK40" i="2" s="1"/>
  <c r="DH40" i="2"/>
  <c r="DJ40" i="2" s="1"/>
  <c r="DG40" i="2"/>
  <c r="DF40" i="2"/>
  <c r="DK39" i="2"/>
  <c r="DI39" i="2"/>
  <c r="DH39" i="2"/>
  <c r="DJ39" i="2" s="1"/>
  <c r="DG39" i="2"/>
  <c r="DF39" i="2"/>
  <c r="DJ38" i="2"/>
  <c r="DI38" i="2"/>
  <c r="DK38" i="2" s="1"/>
  <c r="DH38" i="2"/>
  <c r="DG38" i="2"/>
  <c r="DG55" i="2" s="1"/>
  <c r="DF38" i="2"/>
  <c r="DF55" i="2" s="1"/>
  <c r="DE37" i="2"/>
  <c r="DD37" i="2"/>
  <c r="DC37" i="2"/>
  <c r="DB37" i="2"/>
  <c r="DA37" i="2"/>
  <c r="CZ37" i="2"/>
  <c r="CY37" i="2"/>
  <c r="CX37" i="2"/>
  <c r="CW37" i="2"/>
  <c r="CV37" i="2"/>
  <c r="CU37" i="2"/>
  <c r="CT37" i="2"/>
  <c r="CS37" i="2"/>
  <c r="CR37" i="2"/>
  <c r="CQ37" i="2"/>
  <c r="CP37" i="2"/>
  <c r="CO37" i="2"/>
  <c r="CN37" i="2"/>
  <c r="CM37" i="2"/>
  <c r="CL37" i="2"/>
  <c r="CK37" i="2"/>
  <c r="CJ37" i="2"/>
  <c r="CI37" i="2"/>
  <c r="CH37" i="2"/>
  <c r="CG37" i="2"/>
  <c r="CF37" i="2"/>
  <c r="CE37" i="2"/>
  <c r="CD37" i="2"/>
  <c r="CC37" i="2"/>
  <c r="CB37" i="2"/>
  <c r="CA37" i="2"/>
  <c r="BZ37" i="2"/>
  <c r="BY37" i="2"/>
  <c r="BX37" i="2"/>
  <c r="BW37" i="2"/>
  <c r="BV37" i="2"/>
  <c r="BU37" i="2"/>
  <c r="BT37" i="2"/>
  <c r="BS37" i="2"/>
  <c r="BR37" i="2"/>
  <c r="BQ37" i="2"/>
  <c r="BP37" i="2"/>
  <c r="BO37" i="2"/>
  <c r="BN37" i="2"/>
  <c r="BM37" i="2"/>
  <c r="BL37" i="2"/>
  <c r="BK37" i="2"/>
  <c r="BJ37" i="2"/>
  <c r="BI37" i="2"/>
  <c r="BH37" i="2"/>
  <c r="BG37" i="2"/>
  <c r="BF37" i="2"/>
  <c r="BE37" i="2"/>
  <c r="BD37" i="2"/>
  <c r="BC37" i="2"/>
  <c r="BB37" i="2"/>
  <c r="BA37" i="2"/>
  <c r="AZ37" i="2"/>
  <c r="AY37" i="2"/>
  <c r="AX37" i="2"/>
  <c r="AW37" i="2"/>
  <c r="AV37" i="2"/>
  <c r="AU37" i="2"/>
  <c r="AT37" i="2"/>
  <c r="AS37" i="2"/>
  <c r="AR37" i="2"/>
  <c r="AQ37" i="2"/>
  <c r="AP37" i="2"/>
  <c r="AO37" i="2"/>
  <c r="AN37" i="2"/>
  <c r="AM37" i="2"/>
  <c r="AL37" i="2"/>
  <c r="AK37" i="2"/>
  <c r="AJ37" i="2"/>
  <c r="AI37" i="2"/>
  <c r="AH37" i="2"/>
  <c r="AG37" i="2"/>
  <c r="AF37" i="2"/>
  <c r="AE37" i="2"/>
  <c r="AD37" i="2"/>
  <c r="AC37" i="2"/>
  <c r="AB37" i="2"/>
  <c r="AA37" i="2"/>
  <c r="Z37" i="2"/>
  <c r="Y37" i="2"/>
  <c r="X37" i="2"/>
  <c r="W37" i="2"/>
  <c r="V37" i="2"/>
  <c r="U37" i="2"/>
  <c r="T37" i="2"/>
  <c r="S37" i="2"/>
  <c r="R37" i="2"/>
  <c r="Q37" i="2"/>
  <c r="P37" i="2"/>
  <c r="O37" i="2"/>
  <c r="N37" i="2"/>
  <c r="M37" i="2"/>
  <c r="L37" i="2"/>
  <c r="K37" i="2"/>
  <c r="J37" i="2"/>
  <c r="I37" i="2"/>
  <c r="H37" i="2"/>
  <c r="G37" i="2"/>
  <c r="F37" i="2"/>
  <c r="E37" i="2"/>
  <c r="D37" i="2"/>
  <c r="C37" i="2"/>
  <c r="B37" i="2"/>
  <c r="DJ36" i="2"/>
  <c r="DI36" i="2"/>
  <c r="DK36" i="2" s="1"/>
  <c r="DK37" i="2" s="1"/>
  <c r="DH36" i="2"/>
  <c r="DG36" i="2"/>
  <c r="DF36" i="2"/>
  <c r="DF37" i="2" s="1"/>
  <c r="DI35" i="2"/>
  <c r="DK35" i="2" s="1"/>
  <c r="DH35" i="2"/>
  <c r="DH37" i="2" s="1"/>
  <c r="DG35" i="2"/>
  <c r="DG37" i="2" s="1"/>
  <c r="DF35" i="2"/>
  <c r="DI34" i="2"/>
  <c r="DK34" i="2" s="1"/>
  <c r="DH34" i="2"/>
  <c r="DJ34" i="2" s="1"/>
  <c r="DG34" i="2"/>
  <c r="DF34" i="2"/>
  <c r="DK33" i="2"/>
  <c r="DI33" i="2"/>
  <c r="DH33" i="2"/>
  <c r="DJ33" i="2" s="1"/>
  <c r="DG33" i="2"/>
  <c r="DF33" i="2"/>
  <c r="DJ32" i="2"/>
  <c r="DI32" i="2"/>
  <c r="DK32" i="2" s="1"/>
  <c r="DH32" i="2"/>
  <c r="DG32" i="2"/>
  <c r="DF32" i="2"/>
  <c r="DI31" i="2"/>
  <c r="DK31" i="2" s="1"/>
  <c r="DH31" i="2"/>
  <c r="DJ31" i="2" s="1"/>
  <c r="DG31" i="2"/>
  <c r="DF31" i="2"/>
  <c r="DI30" i="2"/>
  <c r="DK30" i="2" s="1"/>
  <c r="DH30" i="2"/>
  <c r="DJ30" i="2" s="1"/>
  <c r="DG30" i="2"/>
  <c r="DF30" i="2"/>
  <c r="DG29" i="2"/>
  <c r="DF29" i="2"/>
  <c r="DG28" i="2"/>
  <c r="DF28" i="2"/>
  <c r="DI27" i="2"/>
  <c r="DK27" i="2" s="1"/>
  <c r="DH27" i="2"/>
  <c r="DJ27" i="2" s="1"/>
  <c r="DG27" i="2"/>
  <c r="DF27" i="2"/>
  <c r="DI26" i="2"/>
  <c r="DK26" i="2" s="1"/>
  <c r="DH26" i="2"/>
  <c r="DJ26" i="2" s="1"/>
  <c r="DG26" i="2"/>
  <c r="DF26" i="2"/>
  <c r="DK25" i="2"/>
  <c r="DI25" i="2"/>
  <c r="DH25" i="2"/>
  <c r="DJ25" i="2" s="1"/>
  <c r="DG25" i="2"/>
  <c r="DF25" i="2"/>
  <c r="DJ24" i="2"/>
  <c r="DI24" i="2"/>
  <c r="DK24" i="2" s="1"/>
  <c r="DH24" i="2"/>
  <c r="DG24" i="2"/>
  <c r="DF24" i="2"/>
  <c r="DG23" i="2"/>
  <c r="DF23" i="2"/>
  <c r="DJ22" i="2"/>
  <c r="DI22" i="2"/>
  <c r="DI6" i="2" s="1"/>
  <c r="DK6" i="2" s="1"/>
  <c r="DH22" i="2"/>
  <c r="DG22" i="2"/>
  <c r="DF22" i="2"/>
  <c r="DI21" i="2"/>
  <c r="DK21" i="2" s="1"/>
  <c r="DH21" i="2"/>
  <c r="DJ15" i="2" s="1"/>
  <c r="DJ16" i="2" s="1"/>
  <c r="DG21" i="2"/>
  <c r="DG68" i="2" s="1"/>
  <c r="DF21" i="2"/>
  <c r="DF68" i="2" s="1"/>
  <c r="DI15" i="2"/>
  <c r="DI16" i="2" s="1"/>
  <c r="DH15" i="2"/>
  <c r="DH16" i="2" s="1"/>
  <c r="DF12" i="2"/>
  <c r="DH11" i="2"/>
  <c r="DB11" i="2"/>
  <c r="CZ11" i="2"/>
  <c r="CX11" i="2"/>
  <c r="CL11" i="2"/>
  <c r="CJ11" i="2"/>
  <c r="CH11" i="2"/>
  <c r="BV11" i="2"/>
  <c r="BT11" i="2"/>
  <c r="BR11" i="2"/>
  <c r="BF11" i="2"/>
  <c r="BD11" i="2"/>
  <c r="BB11" i="2"/>
  <c r="AP11" i="2"/>
  <c r="AN11" i="2"/>
  <c r="AL11" i="2"/>
  <c r="Z11" i="2"/>
  <c r="X11" i="2"/>
  <c r="V11" i="2"/>
  <c r="J11" i="2"/>
  <c r="H11" i="2"/>
  <c r="F11" i="2"/>
  <c r="DJ10" i="2"/>
  <c r="DH10" i="2"/>
  <c r="DK10" i="2" s="1"/>
  <c r="DJ9" i="2"/>
  <c r="DH9" i="2"/>
  <c r="DK9" i="2" s="1"/>
  <c r="DF7" i="2"/>
  <c r="DF11" i="2" s="1"/>
  <c r="DD7" i="2"/>
  <c r="DD11" i="2" s="1"/>
  <c r="DB7" i="2"/>
  <c r="CZ7" i="2"/>
  <c r="CX7" i="2"/>
  <c r="CV7" i="2"/>
  <c r="CV11" i="2" s="1"/>
  <c r="CT7" i="2"/>
  <c r="CT11" i="2" s="1"/>
  <c r="CR7" i="2"/>
  <c r="CR11" i="2" s="1"/>
  <c r="CP7" i="2"/>
  <c r="CP11" i="2" s="1"/>
  <c r="CN7" i="2"/>
  <c r="CN11" i="2" s="1"/>
  <c r="CL7" i="2"/>
  <c r="CJ7" i="2"/>
  <c r="CH7" i="2"/>
  <c r="CF7" i="2"/>
  <c r="CF11" i="2" s="1"/>
  <c r="CD7" i="2"/>
  <c r="CD11" i="2" s="1"/>
  <c r="CB7" i="2"/>
  <c r="CB11" i="2" s="1"/>
  <c r="BZ7" i="2"/>
  <c r="BZ11" i="2" s="1"/>
  <c r="BX7" i="2"/>
  <c r="BX11" i="2" s="1"/>
  <c r="BV7" i="2"/>
  <c r="BT7" i="2"/>
  <c r="BR7" i="2"/>
  <c r="BP7" i="2"/>
  <c r="BP11" i="2" s="1"/>
  <c r="BN7" i="2"/>
  <c r="BN11" i="2" s="1"/>
  <c r="BL7" i="2"/>
  <c r="BL11" i="2" s="1"/>
  <c r="BJ7" i="2"/>
  <c r="BJ11" i="2" s="1"/>
  <c r="BH7" i="2"/>
  <c r="BH11" i="2" s="1"/>
  <c r="BF7" i="2"/>
  <c r="BD7" i="2"/>
  <c r="BB7" i="2"/>
  <c r="AZ7" i="2"/>
  <c r="AZ11" i="2" s="1"/>
  <c r="AX7" i="2"/>
  <c r="AX11" i="2" s="1"/>
  <c r="AV7" i="2"/>
  <c r="AV11" i="2" s="1"/>
  <c r="AT7" i="2"/>
  <c r="AT11" i="2" s="1"/>
  <c r="AR7" i="2"/>
  <c r="AR11" i="2" s="1"/>
  <c r="AP7" i="2"/>
  <c r="AN7" i="2"/>
  <c r="AL7" i="2"/>
  <c r="AJ7" i="2"/>
  <c r="AJ11" i="2" s="1"/>
  <c r="AH7" i="2"/>
  <c r="AH11" i="2" s="1"/>
  <c r="AF7" i="2"/>
  <c r="AF11" i="2" s="1"/>
  <c r="AD7" i="2"/>
  <c r="AD11" i="2" s="1"/>
  <c r="AB7" i="2"/>
  <c r="AB11" i="2" s="1"/>
  <c r="Z7" i="2"/>
  <c r="X7" i="2"/>
  <c r="V7" i="2"/>
  <c r="T7" i="2"/>
  <c r="T11" i="2" s="1"/>
  <c r="R7" i="2"/>
  <c r="R11" i="2" s="1"/>
  <c r="P7" i="2"/>
  <c r="P11" i="2" s="1"/>
  <c r="N7" i="2"/>
  <c r="N11" i="2" s="1"/>
  <c r="L7" i="2"/>
  <c r="L11" i="2" s="1"/>
  <c r="J7" i="2"/>
  <c r="H7" i="2"/>
  <c r="F7" i="2"/>
  <c r="D7" i="2"/>
  <c r="D11" i="2" s="1"/>
  <c r="B7" i="2"/>
  <c r="B11" i="2" s="1"/>
  <c r="DJ5" i="2"/>
  <c r="DG4" i="2"/>
  <c r="DJ4" i="2" s="1"/>
  <c r="DF138" i="2" l="1"/>
  <c r="DG138" i="2"/>
  <c r="DI138" i="2"/>
  <c r="DJ37" i="2"/>
  <c r="DK55" i="2"/>
  <c r="DJ55" i="2"/>
  <c r="DK15" i="2"/>
  <c r="DK16" i="2" s="1"/>
  <c r="DI37" i="2"/>
  <c r="DJ21" i="2"/>
  <c r="DJ35" i="2"/>
  <c r="DK22" i="2"/>
</calcChain>
</file>

<file path=xl/sharedStrings.xml><?xml version="1.0" encoding="utf-8"?>
<sst xmlns="http://schemas.openxmlformats.org/spreadsheetml/2006/main" count="762" uniqueCount="261">
  <si>
    <t>ОТЧЕТ</t>
  </si>
  <si>
    <t>о работе МКК Фонд микрофинансирования НСО на 31.12.2024</t>
  </si>
  <si>
    <t xml:space="preserve"> ПО НАЦПРОЕКТУ</t>
  </si>
  <si>
    <t>ПЛАН</t>
  </si>
  <si>
    <t>ФАКТ</t>
  </si>
  <si>
    <t>% к плану</t>
  </si>
  <si>
    <t>Количество действующих займов МСП, шт.</t>
  </si>
  <si>
    <t>в том числе вновь зарегистрированных МСП &lt;1 года до 10.07.2023 и &lt; 2- х лет после 10.07.2023</t>
  </si>
  <si>
    <t>Количество займов, выданных самозанятым, млн. руб.</t>
  </si>
  <si>
    <t>План по 142 приказу</t>
  </si>
  <si>
    <t>Количество действующих займов всего</t>
  </si>
  <si>
    <t xml:space="preserve">в том числе вновь зарегистрированных МСП  и самозанятым &lt;2 лет </t>
  </si>
  <si>
    <t>% к Плану ЭРС</t>
  </si>
  <si>
    <t>Количество закрытых займов</t>
  </si>
  <si>
    <t>Декабрь</t>
  </si>
  <si>
    <t>ИТОГО с начала года</t>
  </si>
  <si>
    <t>шт.</t>
  </si>
  <si>
    <t>тыс. руб.</t>
  </si>
  <si>
    <t>На 31.01.2023</t>
  </si>
  <si>
    <t>На 28.02.2023</t>
  </si>
  <si>
    <t>На 31.03.2023</t>
  </si>
  <si>
    <t>На 30.04.2023</t>
  </si>
  <si>
    <t>На 30.05.2023</t>
  </si>
  <si>
    <t>На 31.05.2023</t>
  </si>
  <si>
    <t>На 25.05.2023</t>
  </si>
  <si>
    <t>На 30.06.2023</t>
  </si>
  <si>
    <t>На 15.06.2023</t>
  </si>
  <si>
    <t>На 31.07.2023</t>
  </si>
  <si>
    <t>На 31.08.2023</t>
  </si>
  <si>
    <t>На 30.09.2023</t>
  </si>
  <si>
    <t>На 31.10.2023</t>
  </si>
  <si>
    <t>На 30.11.2023</t>
  </si>
  <si>
    <t>На 31.12.2023</t>
  </si>
  <si>
    <t>На 12.01.2024</t>
  </si>
  <si>
    <t>На 19.01.2024</t>
  </si>
  <si>
    <t>На 31.01.2024</t>
  </si>
  <si>
    <t>На 08.02.2024</t>
  </si>
  <si>
    <t>На 15.02.2024</t>
  </si>
  <si>
    <t>На 22.02.2024</t>
  </si>
  <si>
    <t>На 29.02.2024</t>
  </si>
  <si>
    <t>На 06.03.2024</t>
  </si>
  <si>
    <t>На 14.03.2024</t>
  </si>
  <si>
    <t>На 21.03.2024</t>
  </si>
  <si>
    <t>На 28.03.2024</t>
  </si>
  <si>
    <t>На 04.04.2024</t>
  </si>
  <si>
    <t>На 11.04.2024</t>
  </si>
  <si>
    <t>На 18.04.2024</t>
  </si>
  <si>
    <t>На 25.04.2024</t>
  </si>
  <si>
    <t>На 02.05.2024</t>
  </si>
  <si>
    <t>На 07.05.2024</t>
  </si>
  <si>
    <t>На 16.05.2024</t>
  </si>
  <si>
    <t>На 23.05.2024</t>
  </si>
  <si>
    <t>На 30.05.2024</t>
  </si>
  <si>
    <t>На 06.06.2024</t>
  </si>
  <si>
    <t>На 13.06.2024</t>
  </si>
  <si>
    <t>На 20.06.2024</t>
  </si>
  <si>
    <t>На 27.06.2024</t>
  </si>
  <si>
    <t>На 30.06.2024</t>
  </si>
  <si>
    <t>На 04.07.2024</t>
  </si>
  <si>
    <t>На 11.07.2024</t>
  </si>
  <si>
    <t>На 18.07.2024</t>
  </si>
  <si>
    <t>На 25.07.2024</t>
  </si>
  <si>
    <t>На 31.07.2024</t>
  </si>
  <si>
    <t>На 08.08.2024</t>
  </si>
  <si>
    <t>На 15.08.2024</t>
  </si>
  <si>
    <t>На 22.08.2024</t>
  </si>
  <si>
    <t>На 29.08.2024</t>
  </si>
  <si>
    <t>На 31.08.2024</t>
  </si>
  <si>
    <t>На 05.09.2024</t>
  </si>
  <si>
    <t>На 12.09.2024</t>
  </si>
  <si>
    <t>На 19.09.2024</t>
  </si>
  <si>
    <t>На 26.09.2024</t>
  </si>
  <si>
    <t>На 31.10.2024</t>
  </si>
  <si>
    <t>На 10.10.2024</t>
  </si>
  <si>
    <t>На 17.10.2024</t>
  </si>
  <si>
    <t>На 24.10.2024</t>
  </si>
  <si>
    <t>На 07.11.2024</t>
  </si>
  <si>
    <t>На 14.11.2024</t>
  </si>
  <si>
    <t>На 21.11.2024</t>
  </si>
  <si>
    <t>На 28.11.2024</t>
  </si>
  <si>
    <t>На 30.11.2024</t>
  </si>
  <si>
    <t>На 05.12.2024</t>
  </si>
  <si>
    <t>На 12.12.2024</t>
  </si>
  <si>
    <t>на 19.12.2024</t>
  </si>
  <si>
    <t>на 26.12.2024</t>
  </si>
  <si>
    <t>на 31.12.2024</t>
  </si>
  <si>
    <t>На 31.12.2024</t>
  </si>
  <si>
    <t>% отношение к прошлому году</t>
  </si>
  <si>
    <t>№ Комиссии по займам</t>
  </si>
  <si>
    <t>За отчетный период с 01.01.2024 по 18.01.2024</t>
  </si>
  <si>
    <t>За отчетный период с 19.01.2024 по 25.01.2024</t>
  </si>
  <si>
    <t>За отчетный период с 26.01.2024 по 31.01.2024</t>
  </si>
  <si>
    <t>За отчетный период с 01.02.2024 по 08.02.2024</t>
  </si>
  <si>
    <t>За отчетный период с 09.02.2024 по 15.02.2024</t>
  </si>
  <si>
    <t>За отчетный период с 16.02.2024 по 21.02.2024</t>
  </si>
  <si>
    <t>За отчетный период с 22.02.2024 по 29.02.2024</t>
  </si>
  <si>
    <t>За отчетный период с 01.03.2024 по 06.03.2024</t>
  </si>
  <si>
    <t>За отчетный период с 07.03.2024 по 14.03.2024</t>
  </si>
  <si>
    <t>За отчетный период с 15.03.2024 по 21.03.2024</t>
  </si>
  <si>
    <t>За отчетный период с 22.03.2024 по 28.03.2024</t>
  </si>
  <si>
    <t>За отчетный период с 29.03.2024 по 04.04.2024</t>
  </si>
  <si>
    <t>За отчетный период с 05.04.2024 по 11.04.2024</t>
  </si>
  <si>
    <t>За отчетный период с 12.04.2024 по 18.04.2024</t>
  </si>
  <si>
    <t>За отчетный период с 19.04.2024 по 25.04.2024</t>
  </si>
  <si>
    <t>За отчетный период с 26.04.2024 по 02.05.2024</t>
  </si>
  <si>
    <t>За отчетный период с 03.05.2024 по 07.05.2024</t>
  </si>
  <si>
    <t>За отчетный период с 08.05.2024 по 16.05.2024</t>
  </si>
  <si>
    <t>За отчетный период с 17.05.2024 по 23.05.2024</t>
  </si>
  <si>
    <t>За отчетный период с 24.05.2024 по 30.05.2024</t>
  </si>
  <si>
    <t>За отчетный период с 31.05.2024 по 06.06.2024</t>
  </si>
  <si>
    <t>За отчетный период с 07.06.2024 по 13.06.2024</t>
  </si>
  <si>
    <t>За отчетный период с 14.06.2024 по 20.06.2024</t>
  </si>
  <si>
    <t>За отчетный период с 21.06.2024 по 27.06.2024</t>
  </si>
  <si>
    <t>За отчетный период с 28.06.2024 по 30.06.2024</t>
  </si>
  <si>
    <t>За отчетный период с 01.07.2024 по 04.07.2024</t>
  </si>
  <si>
    <t>За отчетный период с 05.07.2024 по 11.07.2024</t>
  </si>
  <si>
    <t>За отчетный период с 12.07.2024 по 18.07.2024</t>
  </si>
  <si>
    <t>За отчетный период с 19.07.2024 по 25.07.2024</t>
  </si>
  <si>
    <t>За отчетный период с 26.07.2024 по 31.07.2024</t>
  </si>
  <si>
    <t>За отчетный период с 01.08.2024 по 08.08.2024</t>
  </si>
  <si>
    <t>За отчетный период с 09.08.2024 по 15.08.2024</t>
  </si>
  <si>
    <t>За отчетный период с 16.08.2024 по 22.08.2024</t>
  </si>
  <si>
    <t>За отчетный период с 23.08.2024 по 29.08.2024</t>
  </si>
  <si>
    <t>За отчетный период с 29.08.2024 по 30.08.2024</t>
  </si>
  <si>
    <t>За отчетный период с 31.08.2024 по 05.09.2024</t>
  </si>
  <si>
    <t>За отчетный период с 06.09.2024 по 12.09.2024</t>
  </si>
  <si>
    <t>За отчетный период с 13.09.2024 по 19.09.2024</t>
  </si>
  <si>
    <t>За отчетный период с 20.09.2024 по 26.09.2024</t>
  </si>
  <si>
    <t>За отчетный период с 27.09.2024 по 03.10.2024</t>
  </si>
  <si>
    <t>За отчетный период с 04.10.2024 по 10.10.2024</t>
  </si>
  <si>
    <t>За отчетный период с 11.10.2024 по 17.10.2024</t>
  </si>
  <si>
    <t>За отчетный период с 18.10.2024 по 24.10.2024</t>
  </si>
  <si>
    <t>За отчетный период с 25.10.2024 по 31.10.2024</t>
  </si>
  <si>
    <t>За отчетный период с 01.11.2024 по 07.11.2024</t>
  </si>
  <si>
    <t>За отчетный период с 08.11.2024 по 14.11.2024</t>
  </si>
  <si>
    <t>За отчетный период с 15.11.2024 по 21.11.2024</t>
  </si>
  <si>
    <t>За отчетный период с 22.11.2024 по 28.11.2024</t>
  </si>
  <si>
    <t>За отчетный период с 29.11.2024 по 30.11.2024</t>
  </si>
  <si>
    <t>За отчетный период с 01.12.2024 по 05.12.2024</t>
  </si>
  <si>
    <t>За отчетный период с 06.12.2024 по 12.12.2024</t>
  </si>
  <si>
    <t>За отчетный период с 13.12.2024 по 19.12.2024</t>
  </si>
  <si>
    <t>За отчетный период с 20.12.2024 по 26.12.2024</t>
  </si>
  <si>
    <t>За отчетный период с 27.12.2024 по 31.12.2024</t>
  </si>
  <si>
    <t>За отчетный период с 01.12.2024 по 31.12.2024</t>
  </si>
  <si>
    <t>Выдано в 2024 г.</t>
  </si>
  <si>
    <t>ИТОГО с сентября 2010 года на отчетную дату</t>
  </si>
  <si>
    <t>Выдано микрозаймов, ВСЕГО</t>
  </si>
  <si>
    <t>В том числе самозанятых НПД</t>
  </si>
  <si>
    <t xml:space="preserve">В том числе зарегистрированному  &lt; 2 года </t>
  </si>
  <si>
    <t>Все приоритетные группы по 142 приказу 2024 года (в том числе пострадавшим отраслям по 434 П)</t>
  </si>
  <si>
    <t>В том числе по льготной ставке ЦБ РФ-0,25%</t>
  </si>
  <si>
    <t>В том числе по льготной ставке 1/2 ставки Фонда (социальное предпринимательство) и моногород</t>
  </si>
  <si>
    <r>
      <rPr>
        <b/>
        <sz val="11"/>
        <color indexed="2"/>
        <rFont val="Times New Roman"/>
      </rPr>
      <t>Социальное:</t>
    </r>
    <r>
      <rPr>
        <b/>
        <sz val="11"/>
        <rFont val="Times New Roman"/>
      </rPr>
      <t xml:space="preserve"> </t>
    </r>
    <r>
      <rPr>
        <sz val="11"/>
        <rFont val="Times New Roman"/>
      </rPr>
      <t>ЧИСТОГАШЕВА ЛАРИСА ВЛАДИМИРОВНА-500 г Новосибирск,</t>
    </r>
    <r>
      <rPr>
        <b/>
        <sz val="11"/>
        <rFont val="Times New Roman"/>
      </rPr>
      <t xml:space="preserve"> </t>
    </r>
    <r>
      <rPr>
        <sz val="11"/>
        <rFont val="Times New Roman"/>
      </rPr>
      <t>ИП Хачатрян Сурен Арташесович-3300 г Новосибирск, ИП Кедик Мария Викторовна-3000 г Новосибирск,  ИП Боровков Артемий Александрович-1400 г Новосибирск, ИП Сизова Анжелика Александровна-500 г Новосибирск, ООО "ШКОЛА +"- 250 гНовосибирск, ПОСПЕЛОВА ПОЛИНА ВЛАДИМИРОВНА-500,  ООО "БИЗНЕС ИНКУБАТОР"-500, ООО "НАВЫКИ" 230, ООО "ОПТИМА"-500, ИП Парпура Ирина Викторовна-300,</t>
    </r>
  </si>
  <si>
    <r>
      <rPr>
        <b/>
        <sz val="11"/>
        <color indexed="2"/>
        <rFont val="Times New Roman"/>
      </rPr>
      <t>Моногород:</t>
    </r>
    <r>
      <rPr>
        <b/>
        <sz val="11"/>
        <rFont val="Times New Roman"/>
      </rPr>
      <t xml:space="preserve"> </t>
    </r>
    <r>
      <rPr>
        <sz val="11"/>
        <rFont val="Times New Roman"/>
      </rPr>
      <t>Общество с ограниченной ответственностью "ИНЕРТ-АВТО"-3000</t>
    </r>
  </si>
  <si>
    <t>г.Искитим ЧС</t>
  </si>
  <si>
    <t>В том числе без залога</t>
  </si>
  <si>
    <t>В том числе с использованием ЦП МСП РФ</t>
  </si>
  <si>
    <t>В том числе под поручительство Фондa развития малого и среднего предпринимательства
Новосибирской области</t>
  </si>
  <si>
    <t>В том числе займы больше 3 до 5-ти млн. руб.</t>
  </si>
  <si>
    <t>В том числе займы больше 1 до 3-х млн. руб.</t>
  </si>
  <si>
    <t>В том числе займы  ≤ 1 млн. руб.</t>
  </si>
  <si>
    <t>ИТОГО:</t>
  </si>
  <si>
    <r>
      <t>В том числе по видам деятельности:</t>
    </r>
    <r>
      <rPr>
        <sz val="12"/>
        <rFont val="Times New Roman"/>
      </rPr>
      <t xml:space="preserve"> Сельское хозяйство, охота и лесное хозяйство </t>
    </r>
  </si>
  <si>
    <t xml:space="preserve">Рыболовство, рыбоводство </t>
  </si>
  <si>
    <t xml:space="preserve">Добыча полезных ископаемых </t>
  </si>
  <si>
    <t xml:space="preserve">Обрабатывающие производства </t>
  </si>
  <si>
    <t xml:space="preserve">Наука и научные исследования </t>
  </si>
  <si>
    <t>Производство и распределение электроэнергии, газа и воды</t>
  </si>
  <si>
    <t xml:space="preserve">Строительство </t>
  </si>
  <si>
    <t xml:space="preserve">Оптовая и розничная торговля; ремонт автотранспортных средств, мотоциклов, бытовых изделий и предметов личного пользования  </t>
  </si>
  <si>
    <t>Гостиницы и рестораны</t>
  </si>
  <si>
    <t xml:space="preserve">Транспорт и связь </t>
  </si>
  <si>
    <t xml:space="preserve">Финансовая деятельность </t>
  </si>
  <si>
    <t xml:space="preserve">Операции  с недвижимым имуществом, аренда и предоставление услуг </t>
  </si>
  <si>
    <t xml:space="preserve">Государственное управление и обеспечение военной безопасности; социальное страхование </t>
  </si>
  <si>
    <t>Общество с ограниченной ответственностью "Ф-31" 84.25.1 – Деятельность по обеспечению пожарной безопасности</t>
  </si>
  <si>
    <t xml:space="preserve">Образование </t>
  </si>
  <si>
    <t>Здравоохранение и предоставление социальных услуг</t>
  </si>
  <si>
    <t xml:space="preserve">Предоставление прочих коммунальных, социальных и персональных услуг </t>
  </si>
  <si>
    <t>Обращения субъектов МСП на изменение графиков гашения микрозаймов в связи с пандемией COVID 19 (п.2.7.) и постановлением Правительства РФ 337</t>
  </si>
  <si>
    <t>За отчетный период с 15.07.2022 по 21.07.2022</t>
  </si>
  <si>
    <t>В 2023 году</t>
  </si>
  <si>
    <t>Всего с 27.03.2020</t>
  </si>
  <si>
    <t>Поступило обращений (штук)</t>
  </si>
  <si>
    <t>Рассмотрено обращений (штук)</t>
  </si>
  <si>
    <t xml:space="preserve">в том числе реструктуризация </t>
  </si>
  <si>
    <t>в том числе кредитные каникулы</t>
  </si>
  <si>
    <t>Увеличение максимально возможной суммы микрозайма на цели пополнение оборотных средств (с 200 тыс. рублей на 1 работающего при численности более 3-х человек до 300 тыс. рублей) (п. 2.8.)</t>
  </si>
  <si>
    <t xml:space="preserve">Увеличение максимальной суммы микрозайма без залога (со 100 тыс. рублей до 200-300 тыс. руб. для наиболее пострадавших отраслей ) (п. 2.9.) </t>
  </si>
  <si>
    <t>Антикризис 2 транш 2020года займы до 2-х лет</t>
  </si>
  <si>
    <t>В том числе по районам области:</t>
  </si>
  <si>
    <t xml:space="preserve">Баганский </t>
  </si>
  <si>
    <t>ЗАО "БАГАНСКОЕ РЕМОНТНО-ТЕХНИЧЕСКОЕ ПРЕДПРИЯТИЕ"-2500, ООО "ЕЛЕНА"3000,</t>
  </si>
  <si>
    <t>Барабинский</t>
  </si>
  <si>
    <t>Болотнинский</t>
  </si>
  <si>
    <t>СПК Горбенко-2000, КРЕСТЬЯНСКО-ФЕРМЕРСКОЕ ХОЗЯЙСТВО "НЕМОВ"-1500, ИП Петров Сергей Алексеевич - 3000, ИП Степанов Сергей Васильевич - 900, СПК "ГОРБЕНКО" - 1690,</t>
  </si>
  <si>
    <t>Венгеровский</t>
  </si>
  <si>
    <t>ИП Шалабаева Елена Андреевна - 3000,</t>
  </si>
  <si>
    <t>Доволенский</t>
  </si>
  <si>
    <t>Здвинский</t>
  </si>
  <si>
    <t xml:space="preserve">ИП Подойников Алексей Викторович-700, </t>
  </si>
  <si>
    <t>Искитимский</t>
  </si>
  <si>
    <t>Павлов Руслан Михайлович НПД - 300 ст Евсино, Дробышев Василий Федорович-500</t>
  </si>
  <si>
    <t>Карасукский</t>
  </si>
  <si>
    <t>ИП Солосич Игорь Олегович -3000, ООО ПМК КАРАСУКСКАЯ - 4300, ИП Теплова Наталья Александровна-400, ИП Бебешко Наталья Эдуардовна-2500,Общество с ограниченной ответственностью "СИБИРСКОЕ ПОЛЕ" 2500, ИП Киба Максим Викторович-1700, ЗАО "ШИЛОВО-КУРЬИНСКОЕ"-3000</t>
  </si>
  <si>
    <t>Каргатский</t>
  </si>
  <si>
    <t>ИП ГКФХ Иванов А. П. 2100,  ООО "САБЕРУС"-3000, ВЕРХ-КАРГАТСКОЕ СЕЛЬСКОЕ ПОТРЕБИТЕЛЬСКОЕ ОБЩЕСТВО -2000,</t>
  </si>
  <si>
    <t>Колыванский</t>
  </si>
  <si>
    <t xml:space="preserve"> ИП   Лоскутова 2300, ИП Мурашова Елена Владимировна - 500, ИП Варганова Елена Викторовна-600,</t>
  </si>
  <si>
    <t>Коченевский</t>
  </si>
  <si>
    <t>Кулапина Марина Геннадьевна НПД - 300, КОЧЕНЕВСКАЯ НЕФТЕБАЗА" 3000, ООО "КОЧЕНЕВО ДОРСЕРВИС"</t>
  </si>
  <si>
    <t>Кочковский</t>
  </si>
  <si>
    <t>ООО "ЮМИС"-3600, ИП ГКХ Асуева Елизавета Майдаровна-3000, ООО "КОМПАНИЯ РУССКИЙ ДВОР"-600</t>
  </si>
  <si>
    <t>Краснозерский</t>
  </si>
  <si>
    <t>ИП ГКХ Вахонин Андрей Леонидович-900, ИП Гурина Ольга Евгеньевна-500, ИП ГФХ Ивакин Евгений Михайлович-900, КХ Сибирь 1000, Посохов Александр Дмитриевич-300, ИП Парпура Ирина Викторовна-300,</t>
  </si>
  <si>
    <t>Куйбышевский</t>
  </si>
  <si>
    <t>ПК ЕРМАК-1500, ООО "САНЫЧ"-4270, НПД Тымченко Евгений Александрович -300, ИП ГКХ Конев Андрей Станиславович, Строители дорог Сибири 3000, ИСИДА 2 ООО 3000</t>
  </si>
  <si>
    <t>Купинский</t>
  </si>
  <si>
    <t>ИП ГФХ Семенко Дмитрий Викторович-900, ИП Милюхин Роман Владимирович-780, ИП КФХ Сидоренко Татьяна Валентиновна-300, ИП Шаров Константин Александрович-800, Пинчук Светлана Вячеславовна НПД 150, Акционерное общество "СТЕКЛЯННОЕ" 2000, ИП Нечитайло А.Н. 300</t>
  </si>
  <si>
    <t>Кыштовский</t>
  </si>
  <si>
    <t>НПД Могутов Евгений Александрович 300, Ип Глава крестьянского (фермерского) хозяйства Трушков Сергей Александрович-1800,ООО "ФТТРАНС" 3000</t>
  </si>
  <si>
    <t>Маслянинский</t>
  </si>
  <si>
    <t xml:space="preserve">ООО "МИР"-1300, ООО "НАУЧНО-ПРОИЗВОДСТВЕННАЯ КОМПАНИЯ "МИР" - 2500, ИП Большакова 1000, Маслянинский Пищекомбинат 1000, Маслянинский Пищекомбинат 1500, </t>
  </si>
  <si>
    <t>Мошковский</t>
  </si>
  <si>
    <t>ООО "АЛЬЯНСЛЕС"-3000, ООО "НИВА" -3000, ООО "ОРАТАЙ" - 4000, ООО АВТОШКОЛА "АВТОТРЕК"-900, Индивидуальный предприниматель Соболева Анфиса Алексеевна 480, ИП Кох 1500, ИП Гончаров Александр Викторович-3000,</t>
  </si>
  <si>
    <t>Новосибирский</t>
  </si>
  <si>
    <t>ИП Ющенко Станислав Игоревич 1350,Логистические решения ООО 3500, ТК-Автолайн ООО 4500, Абрамов Павел Константинович НПД 500, ИП Ахриев Руслан Ийсаевич 3780, ИП Кириллов Михаил Юрьевич 4000, ИП Кузьменко Андрей Андреевич 718, ООО ЕДИНЫЙ ТЕЛЕКОМ 300, ИП Чернов Денис Евгеньевич - 3511, ИП ГКФХ Белоус Антон Николаевич-3500, ООО "ВОСТОК"-3000, ООО "РЕСПЕКТ"- 300, ООО "ПАО КАМ" - 2140, ИП Боян Лариса Равильевна - 1000, ООО "ЕДИНЫЙ ТЕЛЕКОМ" 300, ООО "ТЭК "АВТОРИТЕТ" 3000, ООО"ВИДЕОНАБЛЮДЕНИЕ"-500, НПД Теслюк Марина Анатольевна-300, ИП Клюкин Игорь Васильевич-300, ИП Клюкина Ольга Станиславовна-300, ООО "СИБАЛЬЯНС"-1000, Индивидуальный предприниматель Кедо Ксения Федоровна-1500, ИП Сабурова 3000,ИП  Маркин 3000,  ООО "ГУРМАСТЕР"-1900, ИП Бурдыка В.И.- 3000, ИП Ганчуев- 2500, ООО Виктория - 3000, ООО Турэксперт - 350, ООО "РЕСПЕКТ"-1120, Попов Антон Александрович-300, ИП Литвинов Евгений Владимирович-3000, ООО "ЧИСТОЛОГИЯ"-1140, ИП Жуйков Михаил Андреевич - 1000, ИПАмирбекова Анна Александровна-2842, ИП Адели Людмила Владимировна -300, ООО НАУЧНО-ПРОИЗВОДСТВЕННОЕ ПРЕДПРИЯТИЕ "БИОИННОВАЦИИ"-500, ИП Эпова Любовь Сергеевна-3000,</t>
  </si>
  <si>
    <t>Ордынский</t>
  </si>
  <si>
    <t xml:space="preserve">ИП Меньшиков Ю - 4470, ИП Шевелев Вячеслав Вячеславович - 4000, ИП Шелудько Александр Иванович - 420, НПД Горлов Антон Сергеевич 400, СЕЛЬСКОХОЗЯЙСТВЕННЫЙ ПРОИЗВОДСТВЕННЫЙ КООПЕРАТИВ  "КИРЗИНСКИЙ" 3000, ИП Колбина Наталья Сергеевна - 3000, ООО "ЧЕРНАКОВО" - 2990, </t>
  </si>
  <si>
    <t>Северный</t>
  </si>
  <si>
    <t>Сузунский</t>
  </si>
  <si>
    <t>ИП ГКХ Багдасарян Лендруш Бархударович - 1500, ООО "СОЧУВСТВИЕ"-3500, ИП Тихоненко Дмитрий Алексеевич-3000, ИП Димитренко Яков Николаевич-1750, ИП Галузина Наталья Александровна-1200, АО СУЗУНСКОЕ РЕМОНТНО -ТЕХНИЧЕСКОЕ ПРЕДПРИЯТИЕ - 2500</t>
  </si>
  <si>
    <t>Татарский</t>
  </si>
  <si>
    <t>ИП Тюлепергенов 4500, ИП Мерзлякова Елена Николаевна-2000, ООО Фирма "ДИАС-СИБИРЬ" - 2500, ИП Бирюкова Ирина Игоревна, ООО СТОМАТОЛОГИЧЕСКАЯ КЛИНИКА "ВАША СТОМАТОЛОГИЯ"-2500, ООО "ОПТИМА"-500,</t>
  </si>
  <si>
    <t>Тогучинский</t>
  </si>
  <si>
    <t>Убинский</t>
  </si>
  <si>
    <t>ИП ГКФХ Пузиков Алексей Анатольевич-900,</t>
  </si>
  <si>
    <t>Усть-Таркский</t>
  </si>
  <si>
    <t xml:space="preserve">ИП ГКХ Крымская Анастасия Олеговна-1800, </t>
  </si>
  <si>
    <t>Чановский</t>
  </si>
  <si>
    <t xml:space="preserve">ООО "ЧАНОВСКОЕ ПАТП"-4000, </t>
  </si>
  <si>
    <t>Черепановский</t>
  </si>
  <si>
    <t>ИП Землянских 3000</t>
  </si>
  <si>
    <t>Чистоозерный</t>
  </si>
  <si>
    <t>ИП Нерубаев Станислав Вячеславович-720,00, Акционерное общество "ПРИБРЕЖНОЕ" -2000, ИП ГКХ Клименко Александр Петрович</t>
  </si>
  <si>
    <t>Чулымский</t>
  </si>
  <si>
    <t xml:space="preserve">ИП Логинов Евгений Валерьевич-2000, </t>
  </si>
  <si>
    <t>г. Бердск</t>
  </si>
  <si>
    <t>ООО БЕРДСКАЯ СТРОИТЕЛЬНАЯ КОМПАНИЯ - 4500, ООО "АПК" - 1140, ООО МАКСКОМ - 900, ООО Скоровар -2800, ИП Галиулова Светлана Николаевна - 300, ИП Жаркова 2200, Амплеев Антон Петрович 300, БЭГРИФ ООО 2520, Печуркин Сергей Геннадьевич - 400, ООО "МАКСКОМ"-3000, Захарова Наталия Ивановна НПД - 300, ИП Кончев Илья Андреевич- 500, ООО "СИБИРСКИЙ ЦЕНТР СТОМАТОЛОГИИ"-2000, ИП Бессонов Дмитрий Александрович- 2500,</t>
  </si>
  <si>
    <t>г. Искитим</t>
  </si>
  <si>
    <t>ИП Ковалева Людмила Сергеевна-2500, Радионов Данил Юрьевич - 500</t>
  </si>
  <si>
    <t>р. п. Кольцово</t>
  </si>
  <si>
    <t>ИП Шебалина Ирина Александровна-1200, ИП Грищенко Сергей Вячеславович-900, ООО "ИННОВАЦИИ ДЛЯ ЖИЗНИ"-2100,</t>
  </si>
  <si>
    <t>г. Новосибирск</t>
  </si>
  <si>
    <t>г. Обь</t>
  </si>
  <si>
    <t>Выдано микрозаймов за счет внебюджетных источников, Программа "Лёгкий Старт" 1/2 ставки ЦБ РФ, 3%</t>
  </si>
  <si>
    <t>ИТОГО с августа 2011 года на отчетную дату</t>
  </si>
  <si>
    <t>3,25 % ИП Рилль В.С 100, 3,25% Никулин Р. Д. 100</t>
  </si>
  <si>
    <t>Исполнительнительный директор        ______________________          Н.Н. Симонов</t>
  </si>
  <si>
    <t>м.п.</t>
  </si>
  <si>
    <t>горторг Тогучинского райпо - 1500 Тогучин, ИП Гейне Александра Александровна - 4500 Тогучин, ИП Иванов Игорь Петрович-1500 Тогучин, ИП Беженарь Наталья Петровна - 1830 Буготак, ООО "ВИАЛ-ДЕНТ" недвижимость приобретается в г.Бердск - 4200, ООО "ПОЛЯ СИБИРИ"-3500 Тогучин, ИП Кудрявцев Виталий Викторович Лебедево- 450, ООО "ИНЕРТ-АВТО" Моногород 3000, Индивидуальный предприниматель Васильев Сергей Сергеевич-1800, ООО "СИБ-КОЛОС" 3000</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</si>
</sst>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 _₽_-;\-* #,##0.00\ _₽_-;_-* &quot;-&quot;??\ _₽_-;_-@_-"/>
    <numFmt numFmtId="165" formatCode="#,##0\ _₽"/>
    <numFmt numFmtId="166" formatCode="_-* #,##0\ _₽_-;\-* #,##0\ _₽_-;_-* &quot;-&quot;\ _₽_-;_-@_-"/>
    <numFmt numFmtId="167" formatCode="#,##0.00_ ;\-#,##0.00\ "/>
    <numFmt numFmtId="168" formatCode="#,##0.0"/>
    <numFmt numFmtId="169" formatCode="0.0%"/>
    <numFmt numFmtId="170" formatCode="0.0"/>
  </numFmts>
  <fonts count="20" x14ac:knownFonts="1">
    <font>
      <sz val="11"/>
      <color theme="1"/>
      <name val="Calibri"/>
      <scheme val="minor"/>
    </font>
    <font>
      <sz val="12"/>
      <name val="Calibri"/>
      <scheme val="minor"/>
    </font>
    <font>
      <b/>
      <sz val="14"/>
      <name val="Times New Roman"/>
    </font>
    <font>
      <b/>
      <sz val="11"/>
      <name val="Times New Roman"/>
    </font>
    <font>
      <sz val="10"/>
      <name val="Times New Roman"/>
    </font>
    <font>
      <b/>
      <sz val="10"/>
      <name val="Times New Roman"/>
    </font>
    <font>
      <b/>
      <sz val="12"/>
      <name val="Times New Roman"/>
    </font>
    <font>
      <sz val="14"/>
      <name val="Times"/>
    </font>
    <font>
      <sz val="12"/>
      <name val="Times New Roman"/>
    </font>
    <font>
      <sz val="14"/>
      <name val="Times New Roman"/>
    </font>
    <font>
      <b/>
      <sz val="12"/>
      <name val="Calibri"/>
      <scheme val="minor"/>
    </font>
    <font>
      <sz val="12"/>
      <color theme="3"/>
      <name val="Times New Roman"/>
    </font>
    <font>
      <sz val="11"/>
      <name val="Calibri"/>
      <scheme val="minor"/>
    </font>
    <font>
      <sz val="11"/>
      <name val="Times New Roman"/>
    </font>
    <font>
      <sz val="9"/>
      <name val="Times New Roman"/>
    </font>
    <font>
      <sz val="10"/>
      <name val="Calibri"/>
      <scheme val="minor"/>
    </font>
    <font>
      <sz val="8"/>
      <name val="Times New Roman"/>
    </font>
    <font>
      <sz val="11"/>
      <color theme="1"/>
      <name val="Calibri"/>
      <scheme val="minor"/>
    </font>
    <font>
      <b/>
      <sz val="11"/>
      <color indexed="2"/>
      <name val="Times New Roman"/>
    </font>
    <font>
      <sz val="9"/>
      <name val="Times New Roman"/>
      <family val="1"/>
      <charset val="204"/>
    </font>
  </fonts>
  <fills count="2">
    <fill>
      <patternFill patternType="none"/>
    </fill>
    <fill>
      <patternFill patternType="gray125"/>
    </fill>
  </fills>
  <borders count="2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thin">
        <color auto="1"/>
      </right>
      <top style="medium">
        <color auto="1"/>
      </top>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top style="thin">
        <color auto="1"/>
      </top>
      <bottom/>
      <diagonal/>
    </border>
    <border>
      <left style="thin">
        <color auto="1"/>
      </left>
      <right/>
      <top/>
      <bottom style="thin">
        <color auto="1"/>
      </bottom>
      <diagonal/>
    </border>
    <border>
      <left style="thin">
        <color auto="1"/>
      </left>
      <right style="thin">
        <color auto="1"/>
      </right>
      <top/>
      <bottom/>
      <diagonal/>
    </border>
  </borders>
  <cellStyleXfs count="3">
    <xf numFmtId="0" fontId="0" fillId="0" borderId="0"/>
    <xf numFmtId="9" fontId="17" fillId="0" borderId="0" applyFont="0" applyFill="0" applyBorder="0" applyProtection="0"/>
    <xf numFmtId="164" fontId="17" fillId="0" borderId="0" applyFont="0" applyFill="0" applyBorder="0" applyProtection="0"/>
  </cellStyleXfs>
  <cellXfs count="433">
    <xf numFmtId="0" fontId="0" fillId="0" borderId="0" xfId="0"/>
    <xf numFmtId="0" fontId="1" fillId="0" borderId="0" xfId="0" applyFont="1"/>
    <xf numFmtId="4" fontId="1" fillId="0" borderId="0" xfId="0" applyNumberFormat="1" applyFont="1"/>
    <xf numFmtId="165" fontId="1" fillId="0" borderId="0" xfId="0" applyNumberFormat="1" applyFont="1" applyAlignment="1">
      <alignment horizontal="center"/>
    </xf>
    <xf numFmtId="1" fontId="1" fillId="0" borderId="0" xfId="0" applyNumberFormat="1" applyFont="1"/>
    <xf numFmtId="166" fontId="1" fillId="0" borderId="0" xfId="0" applyNumberFormat="1" applyFont="1"/>
    <xf numFmtId="165" fontId="1" fillId="0" borderId="0" xfId="0" applyNumberFormat="1" applyFont="1"/>
    <xf numFmtId="3" fontId="1" fillId="0" borderId="0" xfId="0" applyNumberFormat="1" applyFont="1"/>
    <xf numFmtId="0" fontId="1" fillId="0" borderId="0" xfId="0" applyFont="1" applyAlignment="1">
      <alignment horizontal="right"/>
    </xf>
    <xf numFmtId="0" fontId="2" fillId="0" borderId="0" xfId="0" applyFont="1" applyAlignment="1">
      <alignment horizontal="center" vertical="center"/>
    </xf>
    <xf numFmtId="0" fontId="2" fillId="0" borderId="1" xfId="0" applyFont="1" applyBorder="1" applyAlignment="1">
      <alignment horizontal="center" vertical="center"/>
    </xf>
    <xf numFmtId="0" fontId="3" fillId="0" borderId="2" xfId="0" applyFont="1" applyBorder="1" applyAlignment="1">
      <alignment horizontal="left" vertical="center"/>
    </xf>
    <xf numFmtId="0" fontId="2" fillId="0" borderId="2" xfId="0" applyFont="1" applyBorder="1" applyAlignment="1">
      <alignment horizontal="center" vertical="center"/>
    </xf>
    <xf numFmtId="4" fontId="2" fillId="0" borderId="2" xfId="0" applyNumberFormat="1" applyFont="1" applyBorder="1" applyAlignment="1">
      <alignment horizontal="center" vertical="center"/>
    </xf>
    <xf numFmtId="167" fontId="2" fillId="0" borderId="2" xfId="0" applyNumberFormat="1" applyFont="1" applyBorder="1" applyAlignment="1">
      <alignment horizontal="center" vertical="center"/>
    </xf>
    <xf numFmtId="10" fontId="2" fillId="0" borderId="2" xfId="0" applyNumberFormat="1" applyFont="1" applyBorder="1" applyAlignment="1">
      <alignment horizontal="center" vertical="center"/>
    </xf>
    <xf numFmtId="0" fontId="4" fillId="0" borderId="2" xfId="0" applyFont="1" applyBorder="1" applyAlignment="1">
      <alignment horizontal="left" vertical="center" wrapText="1"/>
    </xf>
    <xf numFmtId="0" fontId="5" fillId="0" borderId="2" xfId="0" applyFont="1" applyBorder="1" applyAlignment="1">
      <alignment horizontal="left" vertical="center" wrapText="1"/>
    </xf>
    <xf numFmtId="168" fontId="2" fillId="0" borderId="2"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165" fontId="2" fillId="0" borderId="2" xfId="0" applyNumberFormat="1" applyFont="1" applyBorder="1" applyAlignment="1">
      <alignment horizontal="center" vertical="center"/>
    </xf>
    <xf numFmtId="1" fontId="2" fillId="0" borderId="2" xfId="0" applyNumberFormat="1" applyFont="1" applyBorder="1" applyAlignment="1">
      <alignment horizontal="center" vertical="center"/>
    </xf>
    <xf numFmtId="3" fontId="2" fillId="0" borderId="2" xfId="0" applyNumberFormat="1" applyFont="1" applyBorder="1" applyAlignment="1">
      <alignment horizontal="center" vertical="center"/>
    </xf>
    <xf numFmtId="166" fontId="2" fillId="0" borderId="3" xfId="0" applyNumberFormat="1" applyFont="1" applyBorder="1" applyAlignment="1">
      <alignment horizontal="left" vertical="center"/>
    </xf>
    <xf numFmtId="166" fontId="2" fillId="0" borderId="4" xfId="0" applyNumberFormat="1" applyFont="1" applyBorder="1" applyAlignment="1">
      <alignment horizontal="left" vertical="center"/>
    </xf>
    <xf numFmtId="166" fontId="2" fillId="0" borderId="2" xfId="0" applyNumberFormat="1" applyFont="1" applyBorder="1" applyAlignment="1">
      <alignment vertical="center"/>
    </xf>
    <xf numFmtId="0" fontId="2" fillId="0" borderId="2" xfId="0" applyFont="1" applyBorder="1" applyAlignment="1">
      <alignment vertical="center"/>
    </xf>
    <xf numFmtId="1" fontId="2" fillId="0" borderId="4" xfId="0" applyNumberFormat="1" applyFont="1" applyBorder="1" applyAlignment="1">
      <alignment horizontal="center" vertical="center"/>
    </xf>
    <xf numFmtId="167" fontId="2" fillId="0" borderId="2" xfId="2" applyNumberFormat="1" applyFont="1" applyBorder="1" applyAlignment="1">
      <alignment vertical="center"/>
    </xf>
    <xf numFmtId="167" fontId="2" fillId="0" borderId="2" xfId="2" applyNumberFormat="1" applyFont="1" applyBorder="1" applyAlignment="1">
      <alignment horizontal="center" vertical="center"/>
    </xf>
    <xf numFmtId="0" fontId="3" fillId="0" borderId="2" xfId="0" applyFont="1" applyBorder="1" applyAlignment="1">
      <alignment horizontal="left" vertical="center" wrapText="1"/>
    </xf>
    <xf numFmtId="0" fontId="6" fillId="0" borderId="2" xfId="0" applyFont="1" applyBorder="1"/>
    <xf numFmtId="1" fontId="9" fillId="0" borderId="2" xfId="0" applyNumberFormat="1" applyFont="1" applyBorder="1" applyAlignment="1">
      <alignment horizontal="center" vertical="center"/>
    </xf>
    <xf numFmtId="0" fontId="9" fillId="0" borderId="2" xfId="0" applyFont="1" applyBorder="1" applyAlignment="1">
      <alignment horizontal="center" vertical="center"/>
    </xf>
    <xf numFmtId="1" fontId="9" fillId="0" borderId="5" xfId="0" applyNumberFormat="1" applyFont="1" applyBorder="1" applyAlignment="1">
      <alignment horizontal="center" vertical="center"/>
    </xf>
    <xf numFmtId="0" fontId="9" fillId="0" borderId="0" xfId="0" applyFont="1" applyAlignment="1">
      <alignment horizontal="center" vertical="center"/>
    </xf>
    <xf numFmtId="1" fontId="9" fillId="0" borderId="0" xfId="0" applyNumberFormat="1" applyFont="1" applyAlignment="1">
      <alignment horizontal="center" vertical="center"/>
    </xf>
    <xf numFmtId="4" fontId="9" fillId="0" borderId="0" xfId="0" applyNumberFormat="1" applyFont="1" applyAlignment="1">
      <alignment horizontal="center" vertical="center"/>
    </xf>
    <xf numFmtId="166" fontId="9" fillId="0" borderId="0" xfId="0" applyNumberFormat="1" applyFont="1" applyAlignment="1">
      <alignment horizontal="center" vertical="center"/>
    </xf>
    <xf numFmtId="165" fontId="9" fillId="0" borderId="0" xfId="0" applyNumberFormat="1" applyFont="1" applyAlignment="1">
      <alignment horizontal="center" vertical="center"/>
    </xf>
    <xf numFmtId="3" fontId="9" fillId="0" borderId="0" xfId="0" applyNumberFormat="1" applyFont="1" applyAlignment="1">
      <alignment horizontal="center" vertical="center"/>
    </xf>
    <xf numFmtId="0" fontId="9" fillId="0" borderId="0" xfId="0" applyFont="1" applyAlignment="1">
      <alignment horizontal="right" vertical="center"/>
    </xf>
    <xf numFmtId="4" fontId="9" fillId="0" borderId="2" xfId="0" applyNumberFormat="1" applyFont="1" applyBorder="1" applyAlignment="1">
      <alignment horizontal="center" vertical="center"/>
    </xf>
    <xf numFmtId="0" fontId="9" fillId="0" borderId="5" xfId="0" applyFont="1" applyBorder="1" applyAlignment="1">
      <alignment horizontal="center" vertical="center"/>
    </xf>
    <xf numFmtId="4" fontId="9" fillId="0" borderId="5" xfId="0" applyNumberFormat="1" applyFont="1" applyBorder="1" applyAlignment="1">
      <alignment horizontal="center" vertical="center"/>
    </xf>
    <xf numFmtId="3" fontId="9" fillId="0" borderId="5" xfId="0" applyNumberFormat="1" applyFont="1" applyBorder="1" applyAlignment="1">
      <alignment horizontal="center" vertical="center"/>
    </xf>
    <xf numFmtId="166" fontId="9" fillId="0" borderId="5" xfId="0" applyNumberFormat="1" applyFont="1" applyBorder="1" applyAlignment="1">
      <alignment horizontal="center" vertical="center"/>
    </xf>
    <xf numFmtId="0" fontId="9" fillId="0" borderId="5" xfId="0" applyFont="1" applyBorder="1" applyAlignment="1">
      <alignment horizontal="right" vertical="center"/>
    </xf>
    <xf numFmtId="1" fontId="1" fillId="0" borderId="5" xfId="0" applyNumberFormat="1" applyFont="1" applyBorder="1"/>
    <xf numFmtId="4" fontId="1" fillId="0" borderId="5" xfId="0" applyNumberFormat="1" applyFont="1" applyBorder="1"/>
    <xf numFmtId="4" fontId="9" fillId="0" borderId="4" xfId="0" applyNumberFormat="1" applyFont="1" applyBorder="1" applyAlignment="1">
      <alignment horizontal="center" vertical="center"/>
    </xf>
    <xf numFmtId="10" fontId="9" fillId="0" borderId="2" xfId="0" applyNumberFormat="1" applyFont="1" applyBorder="1" applyAlignment="1">
      <alignment horizontal="center" vertical="center"/>
    </xf>
    <xf numFmtId="0" fontId="8" fillId="0" borderId="2" xfId="0" applyFont="1" applyBorder="1" applyAlignment="1">
      <alignment horizontal="center" vertical="center"/>
    </xf>
    <xf numFmtId="0" fontId="6" fillId="0" borderId="4" xfId="0" applyFont="1" applyBorder="1" applyAlignment="1">
      <alignment horizontal="center" vertical="center" wrapText="1"/>
    </xf>
    <xf numFmtId="0" fontId="6" fillId="0" borderId="2" xfId="0" applyFont="1" applyBorder="1" applyAlignment="1">
      <alignment horizontal="justify" vertical="center"/>
    </xf>
    <xf numFmtId="4" fontId="6" fillId="0" borderId="2" xfId="0" applyNumberFormat="1" applyFont="1" applyBorder="1" applyAlignment="1">
      <alignment horizontal="justify" vertical="center"/>
    </xf>
    <xf numFmtId="165" fontId="6" fillId="0" borderId="2" xfId="0" applyNumberFormat="1" applyFont="1" applyBorder="1" applyAlignment="1">
      <alignment horizontal="center" vertical="center"/>
    </xf>
    <xf numFmtId="1" fontId="6" fillId="0" borderId="2" xfId="0" applyNumberFormat="1" applyFont="1" applyBorder="1" applyAlignment="1">
      <alignment horizontal="justify" vertical="center"/>
    </xf>
    <xf numFmtId="166" fontId="6" fillId="0" borderId="2" xfId="0" applyNumberFormat="1" applyFont="1" applyBorder="1" applyAlignment="1">
      <alignment horizontal="center" vertical="center"/>
    </xf>
    <xf numFmtId="4" fontId="6" fillId="0" borderId="2" xfId="0" applyNumberFormat="1" applyFont="1" applyBorder="1" applyAlignment="1">
      <alignment horizontal="center" vertical="center"/>
    </xf>
    <xf numFmtId="165" fontId="6" fillId="0" borderId="2" xfId="0" applyNumberFormat="1" applyFont="1" applyBorder="1" applyAlignment="1">
      <alignment horizontal="justify" vertical="center"/>
    </xf>
    <xf numFmtId="3" fontId="6" fillId="0" borderId="2" xfId="0" applyNumberFormat="1" applyFont="1" applyBorder="1" applyAlignment="1">
      <alignment horizontal="justify" vertical="center"/>
    </xf>
    <xf numFmtId="1" fontId="6" fillId="0" borderId="2" xfId="0" applyNumberFormat="1" applyFont="1" applyBorder="1" applyAlignment="1">
      <alignment horizontal="center" vertical="center"/>
    </xf>
    <xf numFmtId="166" fontId="6" fillId="0" borderId="2" xfId="0" applyNumberFormat="1" applyFont="1" applyBorder="1" applyAlignment="1">
      <alignment horizontal="justify" vertical="center"/>
    </xf>
    <xf numFmtId="0" fontId="6" fillId="0" borderId="2" xfId="0" applyFont="1" applyBorder="1" applyAlignment="1">
      <alignment horizontal="right" vertical="center"/>
    </xf>
    <xf numFmtId="0" fontId="6" fillId="0" borderId="2" xfId="0" applyFont="1" applyBorder="1" applyAlignment="1">
      <alignment horizontal="center" vertical="center"/>
    </xf>
    <xf numFmtId="3" fontId="6" fillId="0" borderId="2" xfId="0" applyNumberFormat="1" applyFont="1" applyBorder="1" applyAlignment="1">
      <alignment horizontal="center" vertical="center"/>
    </xf>
    <xf numFmtId="0" fontId="6" fillId="0" borderId="2" xfId="0" applyFont="1" applyBorder="1" applyAlignment="1">
      <alignment vertical="center"/>
    </xf>
    <xf numFmtId="4" fontId="6" fillId="0" borderId="2" xfId="0" applyNumberFormat="1" applyFont="1" applyBorder="1" applyAlignment="1">
      <alignment vertical="center"/>
    </xf>
    <xf numFmtId="1" fontId="6" fillId="0" borderId="2" xfId="0" applyNumberFormat="1" applyFont="1" applyBorder="1" applyAlignment="1">
      <alignment vertical="center"/>
    </xf>
    <xf numFmtId="166" fontId="6" fillId="0" borderId="2" xfId="0" applyNumberFormat="1" applyFont="1" applyBorder="1" applyAlignment="1">
      <alignment horizontal="right" vertical="center"/>
    </xf>
    <xf numFmtId="165" fontId="6" fillId="0" borderId="2" xfId="0" applyNumberFormat="1" applyFont="1" applyBorder="1" applyAlignment="1">
      <alignment vertical="center"/>
    </xf>
    <xf numFmtId="3" fontId="6" fillId="0" borderId="2" xfId="0" applyNumberFormat="1" applyFont="1" applyBorder="1" applyAlignment="1">
      <alignment vertical="center"/>
    </xf>
    <xf numFmtId="1" fontId="6" fillId="0" borderId="2" xfId="0" applyNumberFormat="1" applyFont="1" applyBorder="1" applyAlignment="1">
      <alignment horizontal="right" vertical="center"/>
    </xf>
    <xf numFmtId="4" fontId="6" fillId="0" borderId="2" xfId="0" applyNumberFormat="1" applyFont="1" applyBorder="1" applyAlignment="1">
      <alignment horizontal="right" vertical="center"/>
    </xf>
    <xf numFmtId="3" fontId="6" fillId="0" borderId="2" xfId="0" applyNumberFormat="1" applyFont="1" applyBorder="1" applyAlignment="1">
      <alignment horizontal="right" vertical="center"/>
    </xf>
    <xf numFmtId="0" fontId="8" fillId="0" borderId="2" xfId="0" applyFont="1" applyBorder="1" applyAlignment="1">
      <alignment vertical="center"/>
    </xf>
    <xf numFmtId="0" fontId="6" fillId="0" borderId="2" xfId="0" applyFont="1" applyBorder="1" applyAlignment="1">
      <alignment vertical="center" wrapText="1"/>
    </xf>
    <xf numFmtId="165" fontId="6" fillId="0" borderId="2" xfId="0" applyNumberFormat="1" applyFont="1" applyBorder="1" applyAlignment="1">
      <alignment horizontal="center" vertical="center" wrapText="1"/>
    </xf>
    <xf numFmtId="4" fontId="6" fillId="0" borderId="2" xfId="0" applyNumberFormat="1" applyFont="1" applyBorder="1" applyAlignment="1">
      <alignment vertical="center" wrapText="1"/>
    </xf>
    <xf numFmtId="1" fontId="6" fillId="0" borderId="2" xfId="0" applyNumberFormat="1" applyFont="1" applyBorder="1" applyAlignment="1">
      <alignment vertical="center" wrapText="1"/>
    </xf>
    <xf numFmtId="166" fontId="6" fillId="0" borderId="2" xfId="0" applyNumberFormat="1" applyFont="1" applyBorder="1" applyAlignment="1">
      <alignment horizontal="right" vertical="center" wrapText="1"/>
    </xf>
    <xf numFmtId="165" fontId="6" fillId="0" borderId="2" xfId="0" applyNumberFormat="1" applyFont="1" applyBorder="1" applyAlignment="1">
      <alignment vertical="center" wrapText="1"/>
    </xf>
    <xf numFmtId="3" fontId="6" fillId="0" borderId="2" xfId="0" applyNumberFormat="1" applyFont="1" applyBorder="1" applyAlignment="1">
      <alignment vertical="center" wrapText="1"/>
    </xf>
    <xf numFmtId="166" fontId="6" fillId="0" borderId="2" xfId="0" applyNumberFormat="1" applyFont="1" applyBorder="1" applyAlignment="1">
      <alignment vertical="center" wrapText="1"/>
    </xf>
    <xf numFmtId="0" fontId="6" fillId="0" borderId="2" xfId="0" applyFont="1" applyBorder="1" applyAlignment="1">
      <alignment horizontal="center" vertical="center" wrapText="1"/>
    </xf>
    <xf numFmtId="4" fontId="6" fillId="0" borderId="2" xfId="0" applyNumberFormat="1" applyFont="1" applyBorder="1" applyAlignment="1">
      <alignment horizontal="center" vertical="center" wrapText="1"/>
    </xf>
    <xf numFmtId="0" fontId="10" fillId="0" borderId="0" xfId="0" applyFont="1"/>
    <xf numFmtId="3" fontId="10" fillId="0" borderId="0" xfId="0" applyNumberFormat="1" applyFont="1"/>
    <xf numFmtId="0" fontId="3" fillId="0" borderId="1" xfId="0" applyFont="1" applyBorder="1" applyAlignment="1">
      <alignment vertical="center" wrapText="1"/>
    </xf>
    <xf numFmtId="0" fontId="6" fillId="0" borderId="1" xfId="0" applyFont="1" applyBorder="1" applyAlignment="1">
      <alignment vertical="center"/>
    </xf>
    <xf numFmtId="4" fontId="6" fillId="0" borderId="1" xfId="0" applyNumberFormat="1" applyFont="1" applyBorder="1" applyAlignment="1">
      <alignment vertical="center"/>
    </xf>
    <xf numFmtId="165" fontId="6" fillId="0" borderId="1" xfId="0" applyNumberFormat="1" applyFont="1" applyBorder="1" applyAlignment="1">
      <alignment horizontal="center" vertical="center" wrapText="1"/>
    </xf>
    <xf numFmtId="4" fontId="6" fillId="0" borderId="1" xfId="0" applyNumberFormat="1" applyFont="1" applyBorder="1" applyAlignment="1">
      <alignment vertical="center" wrapText="1"/>
    </xf>
    <xf numFmtId="1" fontId="6" fillId="0" borderId="1" xfId="0" applyNumberFormat="1" applyFont="1" applyBorder="1" applyAlignment="1">
      <alignment vertical="center" wrapText="1"/>
    </xf>
    <xf numFmtId="166" fontId="6" fillId="0" borderId="1" xfId="0" applyNumberFormat="1" applyFont="1" applyBorder="1" applyAlignment="1">
      <alignment horizontal="right" vertical="center" wrapText="1"/>
    </xf>
    <xf numFmtId="165" fontId="6" fillId="0" borderId="1" xfId="0" applyNumberFormat="1" applyFont="1" applyBorder="1" applyAlignment="1">
      <alignment vertical="center" wrapText="1"/>
    </xf>
    <xf numFmtId="165" fontId="6" fillId="0" borderId="1" xfId="0" applyNumberFormat="1" applyFont="1" applyBorder="1" applyAlignment="1">
      <alignment vertical="center"/>
    </xf>
    <xf numFmtId="3" fontId="6" fillId="0" borderId="1" xfId="0" applyNumberFormat="1" applyFont="1" applyBorder="1" applyAlignment="1">
      <alignment vertical="center" wrapText="1"/>
    </xf>
    <xf numFmtId="166" fontId="6" fillId="0" borderId="1" xfId="0" applyNumberFormat="1" applyFont="1" applyBorder="1" applyAlignment="1">
      <alignment vertical="center" wrapText="1"/>
    </xf>
    <xf numFmtId="1" fontId="6" fillId="0" borderId="1" xfId="0" applyNumberFormat="1" applyFont="1" applyBorder="1" applyAlignment="1">
      <alignment vertical="center"/>
    </xf>
    <xf numFmtId="166" fontId="6" fillId="0" borderId="1" xfId="0" applyNumberFormat="1" applyFont="1" applyBorder="1" applyAlignment="1">
      <alignment horizontal="right" vertical="center"/>
    </xf>
    <xf numFmtId="0" fontId="6"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6" fillId="0" borderId="1" xfId="0" applyFont="1" applyBorder="1" applyAlignment="1">
      <alignment vertical="center" wrapText="1"/>
    </xf>
    <xf numFmtId="3" fontId="6" fillId="0" borderId="1" xfId="0" applyNumberFormat="1" applyFont="1" applyBorder="1" applyAlignment="1">
      <alignment vertical="center"/>
    </xf>
    <xf numFmtId="0" fontId="6" fillId="0" borderId="1" xfId="0" applyFont="1" applyBorder="1" applyAlignment="1">
      <alignment horizontal="right" vertical="center"/>
    </xf>
    <xf numFmtId="4" fontId="6" fillId="0" borderId="1" xfId="0" applyNumberFormat="1" applyFont="1" applyBorder="1" applyAlignment="1">
      <alignment horizontal="right" vertical="center"/>
    </xf>
    <xf numFmtId="1" fontId="6" fillId="0" borderId="1" xfId="0" applyNumberFormat="1" applyFont="1" applyBorder="1" applyAlignment="1">
      <alignment horizontal="right" vertical="center"/>
    </xf>
    <xf numFmtId="3" fontId="6" fillId="0" borderId="1" xfId="0" applyNumberFormat="1" applyFont="1" applyBorder="1" applyAlignment="1">
      <alignment horizontal="right" vertical="center"/>
    </xf>
    <xf numFmtId="0" fontId="3" fillId="0" borderId="9" xfId="0" applyFont="1" applyBorder="1" applyAlignment="1">
      <alignment vertical="center" wrapText="1"/>
    </xf>
    <xf numFmtId="0" fontId="6" fillId="0" borderId="10" xfId="0" applyFont="1" applyBorder="1" applyAlignment="1">
      <alignment vertical="center"/>
    </xf>
    <xf numFmtId="4" fontId="6" fillId="0" borderId="10" xfId="0" applyNumberFormat="1" applyFont="1" applyBorder="1" applyAlignment="1">
      <alignment vertical="center"/>
    </xf>
    <xf numFmtId="165" fontId="6" fillId="0" borderId="10" xfId="0" applyNumberFormat="1" applyFont="1" applyBorder="1" applyAlignment="1">
      <alignment horizontal="center" vertical="center" wrapText="1"/>
    </xf>
    <xf numFmtId="4" fontId="6" fillId="0" borderId="10" xfId="0" applyNumberFormat="1" applyFont="1" applyBorder="1" applyAlignment="1">
      <alignment vertical="center" wrapText="1"/>
    </xf>
    <xf numFmtId="1" fontId="6" fillId="0" borderId="10" xfId="0" applyNumberFormat="1" applyFont="1" applyBorder="1" applyAlignment="1">
      <alignment vertical="center" wrapText="1"/>
    </xf>
    <xf numFmtId="166" fontId="6" fillId="0" borderId="10" xfId="0" applyNumberFormat="1" applyFont="1" applyBorder="1" applyAlignment="1">
      <alignment horizontal="right" vertical="center" wrapText="1"/>
    </xf>
    <xf numFmtId="165" fontId="6" fillId="0" borderId="10" xfId="0" applyNumberFormat="1" applyFont="1" applyBorder="1" applyAlignment="1">
      <alignment vertical="center" wrapText="1"/>
    </xf>
    <xf numFmtId="165" fontId="6" fillId="0" borderId="10" xfId="0" applyNumberFormat="1" applyFont="1" applyBorder="1" applyAlignment="1">
      <alignment vertical="center"/>
    </xf>
    <xf numFmtId="3" fontId="6" fillId="0" borderId="10" xfId="0" applyNumberFormat="1" applyFont="1" applyBorder="1" applyAlignment="1">
      <alignment vertical="center" wrapText="1"/>
    </xf>
    <xf numFmtId="166" fontId="6" fillId="0" borderId="10" xfId="0" applyNumberFormat="1" applyFont="1" applyBorder="1" applyAlignment="1">
      <alignment vertical="center" wrapText="1"/>
    </xf>
    <xf numFmtId="1" fontId="6" fillId="0" borderId="10" xfId="0" applyNumberFormat="1" applyFont="1" applyBorder="1" applyAlignment="1">
      <alignment vertical="center"/>
    </xf>
    <xf numFmtId="166" fontId="6" fillId="0" borderId="10" xfId="0" applyNumberFormat="1" applyFont="1" applyBorder="1" applyAlignment="1">
      <alignment horizontal="right" vertical="center"/>
    </xf>
    <xf numFmtId="0" fontId="6" fillId="0" borderId="10" xfId="0" applyFont="1" applyBorder="1" applyAlignment="1">
      <alignment horizontal="center" vertical="center" wrapText="1"/>
    </xf>
    <xf numFmtId="4" fontId="6" fillId="0" borderId="10" xfId="0" applyNumberFormat="1" applyFont="1" applyBorder="1" applyAlignment="1">
      <alignment horizontal="center" vertical="center" wrapText="1"/>
    </xf>
    <xf numFmtId="0" fontId="6" fillId="0" borderId="10" xfId="0" applyFont="1" applyBorder="1" applyAlignment="1">
      <alignment vertical="center" wrapText="1"/>
    </xf>
    <xf numFmtId="3" fontId="6" fillId="0" borderId="10" xfId="0" applyNumberFormat="1" applyFont="1" applyBorder="1" applyAlignment="1">
      <alignment vertical="center"/>
    </xf>
    <xf numFmtId="0" fontId="6" fillId="0" borderId="10" xfId="0" applyFont="1" applyBorder="1" applyAlignment="1">
      <alignment horizontal="right" vertical="center"/>
    </xf>
    <xf numFmtId="4" fontId="6" fillId="0" borderId="10" xfId="0" applyNumberFormat="1" applyFont="1" applyBorder="1" applyAlignment="1">
      <alignment horizontal="right" vertical="center"/>
    </xf>
    <xf numFmtId="1" fontId="6" fillId="0" borderId="10" xfId="0" applyNumberFormat="1" applyFont="1" applyBorder="1" applyAlignment="1">
      <alignment horizontal="right" vertical="center"/>
    </xf>
    <xf numFmtId="3" fontId="6" fillId="0" borderId="10" xfId="0" applyNumberFormat="1" applyFont="1" applyBorder="1" applyAlignment="1">
      <alignment horizontal="right" vertical="center"/>
    </xf>
    <xf numFmtId="4" fontId="6" fillId="0" borderId="11" xfId="0" applyNumberFormat="1" applyFont="1" applyBorder="1" applyAlignment="1">
      <alignment horizontal="right" vertical="center"/>
    </xf>
    <xf numFmtId="0" fontId="3" fillId="0" borderId="12" xfId="0" applyFont="1" applyBorder="1" applyAlignment="1">
      <alignment vertical="center" wrapText="1"/>
    </xf>
    <xf numFmtId="0" fontId="6" fillId="0" borderId="13" xfId="0" applyFont="1" applyBorder="1" applyAlignment="1">
      <alignment vertical="center"/>
    </xf>
    <xf numFmtId="4" fontId="6" fillId="0" borderId="13" xfId="0" applyNumberFormat="1" applyFont="1" applyBorder="1" applyAlignment="1">
      <alignment vertical="center"/>
    </xf>
    <xf numFmtId="165" fontId="6" fillId="0" borderId="13" xfId="0" applyNumberFormat="1" applyFont="1" applyBorder="1" applyAlignment="1">
      <alignment horizontal="center" vertical="center" wrapText="1"/>
    </xf>
    <xf numFmtId="4" fontId="6" fillId="0" borderId="13" xfId="0" applyNumberFormat="1" applyFont="1" applyBorder="1" applyAlignment="1">
      <alignment vertical="center" wrapText="1"/>
    </xf>
    <xf numFmtId="1" fontId="6" fillId="0" borderId="13" xfId="0" applyNumberFormat="1" applyFont="1" applyBorder="1" applyAlignment="1">
      <alignment vertical="center" wrapText="1"/>
    </xf>
    <xf numFmtId="166" fontId="6" fillId="0" borderId="13" xfId="0" applyNumberFormat="1" applyFont="1" applyBorder="1" applyAlignment="1">
      <alignment horizontal="right" vertical="center" wrapText="1"/>
    </xf>
    <xf numFmtId="165" fontId="6" fillId="0" borderId="13" xfId="0" applyNumberFormat="1" applyFont="1" applyBorder="1" applyAlignment="1">
      <alignment vertical="center" wrapText="1"/>
    </xf>
    <xf numFmtId="165" fontId="6" fillId="0" borderId="13" xfId="0" applyNumberFormat="1" applyFont="1" applyBorder="1" applyAlignment="1">
      <alignment vertical="center"/>
    </xf>
    <xf numFmtId="3" fontId="6" fillId="0" borderId="13" xfId="0" applyNumberFormat="1" applyFont="1" applyBorder="1" applyAlignment="1">
      <alignment vertical="center" wrapText="1"/>
    </xf>
    <xf numFmtId="166" fontId="6" fillId="0" borderId="13" xfId="0" applyNumberFormat="1" applyFont="1" applyBorder="1" applyAlignment="1">
      <alignment vertical="center" wrapText="1"/>
    </xf>
    <xf numFmtId="1" fontId="6" fillId="0" borderId="13" xfId="0" applyNumberFormat="1" applyFont="1" applyBorder="1" applyAlignment="1">
      <alignment vertical="center"/>
    </xf>
    <xf numFmtId="166" fontId="6" fillId="0" borderId="13" xfId="0" applyNumberFormat="1" applyFont="1" applyBorder="1" applyAlignment="1">
      <alignment horizontal="right" vertical="center"/>
    </xf>
    <xf numFmtId="0" fontId="6" fillId="0" borderId="13" xfId="0" applyFont="1" applyBorder="1" applyAlignment="1">
      <alignment horizontal="center" vertical="center" wrapText="1"/>
    </xf>
    <xf numFmtId="4" fontId="6" fillId="0" borderId="13" xfId="0" applyNumberFormat="1" applyFont="1" applyBorder="1" applyAlignment="1">
      <alignment horizontal="center" vertical="center" wrapText="1"/>
    </xf>
    <xf numFmtId="0" fontId="6" fillId="0" borderId="13" xfId="0" applyFont="1" applyBorder="1" applyAlignment="1">
      <alignment vertical="center" wrapText="1"/>
    </xf>
    <xf numFmtId="3" fontId="6" fillId="0" borderId="13" xfId="0" applyNumberFormat="1" applyFont="1" applyBorder="1" applyAlignment="1">
      <alignment vertical="center"/>
    </xf>
    <xf numFmtId="0" fontId="6" fillId="0" borderId="13" xfId="0" applyFont="1" applyBorder="1" applyAlignment="1">
      <alignment horizontal="right" vertical="center"/>
    </xf>
    <xf numFmtId="4" fontId="6" fillId="0" borderId="13" xfId="0" applyNumberFormat="1" applyFont="1" applyBorder="1" applyAlignment="1">
      <alignment horizontal="right" vertical="center"/>
    </xf>
    <xf numFmtId="1" fontId="6" fillId="0" borderId="13" xfId="0" applyNumberFormat="1" applyFont="1" applyBorder="1" applyAlignment="1">
      <alignment horizontal="right" vertical="center"/>
    </xf>
    <xf numFmtId="3" fontId="6" fillId="0" borderId="13" xfId="0" applyNumberFormat="1" applyFont="1" applyBorder="1" applyAlignment="1">
      <alignment horizontal="right" vertical="center"/>
    </xf>
    <xf numFmtId="4" fontId="6" fillId="0" borderId="14" xfId="0" applyNumberFormat="1" applyFont="1" applyBorder="1" applyAlignment="1">
      <alignment horizontal="right" vertical="center"/>
    </xf>
    <xf numFmtId="0" fontId="8" fillId="0" borderId="6" xfId="0" applyFont="1" applyBorder="1" applyAlignment="1">
      <alignment vertical="center" wrapText="1"/>
    </xf>
    <xf numFmtId="0" fontId="6" fillId="0" borderId="6" xfId="0" applyFont="1" applyBorder="1" applyAlignment="1">
      <alignment vertical="center"/>
    </xf>
    <xf numFmtId="4" fontId="6" fillId="0" borderId="6" xfId="0" applyNumberFormat="1" applyFont="1" applyBorder="1" applyAlignment="1">
      <alignment vertical="center"/>
    </xf>
    <xf numFmtId="165" fontId="6" fillId="0" borderId="6" xfId="0" applyNumberFormat="1" applyFont="1" applyBorder="1" applyAlignment="1">
      <alignment horizontal="center" vertical="center" wrapText="1"/>
    </xf>
    <xf numFmtId="4" fontId="6" fillId="0" borderId="6" xfId="0" applyNumberFormat="1" applyFont="1" applyBorder="1" applyAlignment="1">
      <alignment vertical="center" wrapText="1"/>
    </xf>
    <xf numFmtId="1" fontId="6" fillId="0" borderId="6" xfId="0" applyNumberFormat="1" applyFont="1" applyBorder="1" applyAlignment="1">
      <alignment vertical="center" wrapText="1"/>
    </xf>
    <xf numFmtId="166" fontId="6" fillId="0" borderId="6" xfId="0" applyNumberFormat="1" applyFont="1" applyBorder="1" applyAlignment="1">
      <alignment horizontal="right" vertical="center" wrapText="1"/>
    </xf>
    <xf numFmtId="165" fontId="6" fillId="0" borderId="6" xfId="0" applyNumberFormat="1" applyFont="1" applyBorder="1" applyAlignment="1">
      <alignment vertical="center" wrapText="1"/>
    </xf>
    <xf numFmtId="165" fontId="6" fillId="0" borderId="6" xfId="0" applyNumberFormat="1" applyFont="1" applyBorder="1" applyAlignment="1">
      <alignment vertical="center"/>
    </xf>
    <xf numFmtId="3" fontId="6" fillId="0" borderId="6" xfId="0" applyNumberFormat="1" applyFont="1" applyBorder="1" applyAlignment="1">
      <alignment vertical="center" wrapText="1"/>
    </xf>
    <xf numFmtId="166" fontId="6" fillId="0" borderId="6" xfId="0" applyNumberFormat="1" applyFont="1" applyBorder="1" applyAlignment="1">
      <alignment vertical="center" wrapText="1"/>
    </xf>
    <xf numFmtId="166" fontId="6" fillId="0" borderId="6" xfId="0" applyNumberFormat="1" applyFont="1" applyBorder="1" applyAlignment="1">
      <alignment horizontal="right" vertical="center"/>
    </xf>
    <xf numFmtId="0" fontId="6" fillId="0" borderId="6" xfId="0" applyFont="1" applyBorder="1" applyAlignment="1">
      <alignment horizontal="center" vertical="center" wrapText="1"/>
    </xf>
    <xf numFmtId="4" fontId="6" fillId="0" borderId="6" xfId="0" applyNumberFormat="1" applyFont="1" applyBorder="1" applyAlignment="1">
      <alignment horizontal="center" vertical="center" wrapText="1"/>
    </xf>
    <xf numFmtId="0" fontId="6" fillId="0" borderId="6" xfId="0" applyFont="1" applyBorder="1" applyAlignment="1">
      <alignment vertical="center" wrapText="1"/>
    </xf>
    <xf numFmtId="3" fontId="6" fillId="0" borderId="6" xfId="0" applyNumberFormat="1" applyFont="1" applyBorder="1" applyAlignment="1">
      <alignment vertical="center"/>
    </xf>
    <xf numFmtId="0" fontId="6" fillId="0" borderId="6" xfId="0" applyFont="1" applyBorder="1" applyAlignment="1">
      <alignment horizontal="right" vertical="center"/>
    </xf>
    <xf numFmtId="4" fontId="6" fillId="0" borderId="6" xfId="0" applyNumberFormat="1" applyFont="1" applyBorder="1" applyAlignment="1">
      <alignment horizontal="right" vertical="center"/>
    </xf>
    <xf numFmtId="1" fontId="6" fillId="0" borderId="6" xfId="0" applyNumberFormat="1" applyFont="1" applyBorder="1" applyAlignment="1">
      <alignment horizontal="right" vertical="center"/>
    </xf>
    <xf numFmtId="3" fontId="6" fillId="0" borderId="6" xfId="0" applyNumberFormat="1" applyFont="1" applyBorder="1" applyAlignment="1">
      <alignment horizontal="right" vertical="center"/>
    </xf>
    <xf numFmtId="0" fontId="11" fillId="0" borderId="2" xfId="0" applyFont="1" applyBorder="1" applyAlignment="1">
      <alignment vertical="center" wrapText="1"/>
    </xf>
    <xf numFmtId="0" fontId="6" fillId="0" borderId="2" xfId="0" applyFont="1" applyBorder="1" applyAlignment="1">
      <alignment horizontal="right" vertical="center" wrapText="1"/>
    </xf>
    <xf numFmtId="0" fontId="6" fillId="0" borderId="1" xfId="0" applyFont="1" applyBorder="1" applyAlignment="1">
      <alignment horizontal="right" vertical="center" wrapText="1"/>
    </xf>
    <xf numFmtId="0" fontId="6" fillId="0" borderId="9" xfId="0" applyFont="1" applyBorder="1" applyAlignment="1">
      <alignment vertical="center" wrapText="1"/>
    </xf>
    <xf numFmtId="0" fontId="6" fillId="0" borderId="10" xfId="0" applyFont="1" applyBorder="1" applyAlignment="1">
      <alignment horizontal="right" vertical="center" wrapText="1"/>
    </xf>
    <xf numFmtId="1" fontId="6" fillId="0" borderId="15" xfId="0" applyNumberFormat="1" applyFont="1" applyBorder="1" applyAlignment="1">
      <alignment horizontal="right" vertical="center"/>
    </xf>
    <xf numFmtId="4" fontId="6" fillId="0" borderId="15" xfId="0" applyNumberFormat="1" applyFont="1" applyBorder="1" applyAlignment="1">
      <alignment horizontal="right" vertical="center"/>
    </xf>
    <xf numFmtId="0" fontId="6" fillId="0" borderId="16" xfId="0" applyFont="1" applyBorder="1" applyAlignment="1">
      <alignment vertical="center" wrapText="1"/>
    </xf>
    <xf numFmtId="4" fontId="6" fillId="0" borderId="2" xfId="0" applyNumberFormat="1" applyFont="1" applyBorder="1" applyAlignment="1">
      <alignment horizontal="right" vertical="center" wrapText="1"/>
    </xf>
    <xf numFmtId="2" fontId="6" fillId="0" borderId="2" xfId="0" applyNumberFormat="1" applyFont="1" applyBorder="1" applyAlignment="1">
      <alignment horizontal="center" vertical="center" wrapText="1"/>
    </xf>
    <xf numFmtId="4" fontId="6" fillId="0" borderId="17" xfId="0" applyNumberFormat="1" applyFont="1" applyBorder="1" applyAlignment="1">
      <alignment horizontal="right" vertical="center"/>
    </xf>
    <xf numFmtId="0" fontId="6" fillId="0" borderId="12" xfId="0" applyFont="1" applyBorder="1" applyAlignment="1">
      <alignment vertical="center" wrapText="1"/>
    </xf>
    <xf numFmtId="3" fontId="6" fillId="0" borderId="13" xfId="0" applyNumberFormat="1" applyFont="1" applyBorder="1" applyAlignment="1">
      <alignment horizontal="right" vertical="center" wrapText="1"/>
    </xf>
    <xf numFmtId="3" fontId="6" fillId="0" borderId="13" xfId="0" applyNumberFormat="1" applyFont="1" applyBorder="1" applyAlignment="1">
      <alignment horizontal="center" vertical="center" wrapText="1"/>
    </xf>
    <xf numFmtId="4" fontId="6" fillId="0" borderId="14" xfId="0" applyNumberFormat="1" applyFont="1" applyBorder="1" applyAlignment="1">
      <alignment vertical="center" wrapText="1"/>
    </xf>
    <xf numFmtId="0" fontId="8" fillId="0" borderId="6" xfId="0" applyFont="1" applyBorder="1" applyAlignment="1">
      <alignment vertical="center"/>
    </xf>
    <xf numFmtId="4" fontId="8" fillId="0" borderId="6" xfId="0" applyNumberFormat="1" applyFont="1" applyBorder="1" applyAlignment="1">
      <alignment vertical="center"/>
    </xf>
    <xf numFmtId="165" fontId="8" fillId="0" borderId="6" xfId="0" applyNumberFormat="1" applyFont="1" applyBorder="1" applyAlignment="1">
      <alignment horizontal="center" vertical="center" wrapText="1"/>
    </xf>
    <xf numFmtId="4" fontId="8" fillId="0" borderId="6" xfId="0" applyNumberFormat="1" applyFont="1" applyBorder="1" applyAlignment="1">
      <alignment vertical="center" wrapText="1"/>
    </xf>
    <xf numFmtId="1" fontId="8" fillId="0" borderId="6" xfId="0" applyNumberFormat="1" applyFont="1" applyBorder="1" applyAlignment="1">
      <alignment vertical="center" wrapText="1"/>
    </xf>
    <xf numFmtId="166" fontId="8" fillId="0" borderId="6" xfId="0" applyNumberFormat="1" applyFont="1" applyBorder="1" applyAlignment="1">
      <alignment horizontal="right" vertical="center" wrapText="1"/>
    </xf>
    <xf numFmtId="165" fontId="8" fillId="0" borderId="6" xfId="0" applyNumberFormat="1" applyFont="1" applyBorder="1" applyAlignment="1">
      <alignment vertical="center" wrapText="1"/>
    </xf>
    <xf numFmtId="3" fontId="8" fillId="0" borderId="6" xfId="0" applyNumberFormat="1" applyFont="1" applyBorder="1" applyAlignment="1">
      <alignment vertical="center" wrapText="1"/>
    </xf>
    <xf numFmtId="166" fontId="8" fillId="0" borderId="6" xfId="0" applyNumberFormat="1" applyFont="1" applyBorder="1" applyAlignment="1">
      <alignment vertical="center" wrapText="1"/>
    </xf>
    <xf numFmtId="4" fontId="8" fillId="0" borderId="6" xfId="0" applyNumberFormat="1" applyFont="1" applyBorder="1" applyAlignment="1">
      <alignment horizontal="right" vertical="center" wrapText="1"/>
    </xf>
    <xf numFmtId="0" fontId="8" fillId="0" borderId="6" xfId="0" applyFont="1" applyBorder="1" applyAlignment="1">
      <alignment horizontal="center" vertical="center" wrapText="1"/>
    </xf>
    <xf numFmtId="2" fontId="8" fillId="0" borderId="6" xfId="0" applyNumberFormat="1" applyFont="1" applyBorder="1" applyAlignment="1">
      <alignment horizontal="center" vertical="center" wrapText="1"/>
    </xf>
    <xf numFmtId="3" fontId="8" fillId="0" borderId="6" xfId="0" applyNumberFormat="1" applyFont="1" applyBorder="1" applyAlignment="1">
      <alignment vertical="center"/>
    </xf>
    <xf numFmtId="0" fontId="8" fillId="0" borderId="6" xfId="0" applyFont="1" applyBorder="1" applyAlignment="1">
      <alignment horizontal="right" vertical="center"/>
    </xf>
    <xf numFmtId="4" fontId="8" fillId="0" borderId="6" xfId="0" applyNumberFormat="1" applyFont="1" applyBorder="1" applyAlignment="1">
      <alignment horizontal="right" vertical="center"/>
    </xf>
    <xf numFmtId="3" fontId="8" fillId="0" borderId="6" xfId="0" applyNumberFormat="1" applyFont="1" applyBorder="1" applyAlignment="1">
      <alignment horizontal="right" vertical="center"/>
    </xf>
    <xf numFmtId="1" fontId="8" fillId="0" borderId="6" xfId="0" applyNumberFormat="1" applyFont="1" applyBorder="1" applyAlignment="1">
      <alignment horizontal="right" vertical="center"/>
    </xf>
    <xf numFmtId="0" fontId="8" fillId="0" borderId="2" xfId="0" applyFont="1" applyBorder="1" applyAlignment="1">
      <alignment vertical="center" wrapText="1"/>
    </xf>
    <xf numFmtId="4" fontId="8" fillId="0" borderId="2" xfId="0" applyNumberFormat="1" applyFont="1" applyBorder="1" applyAlignment="1">
      <alignment vertical="center"/>
    </xf>
    <xf numFmtId="165" fontId="8" fillId="0" borderId="2" xfId="0" applyNumberFormat="1" applyFont="1" applyBorder="1" applyAlignment="1">
      <alignment horizontal="center" vertical="center" wrapText="1"/>
    </xf>
    <xf numFmtId="4" fontId="8" fillId="0" borderId="2" xfId="0" applyNumberFormat="1" applyFont="1" applyBorder="1" applyAlignment="1">
      <alignment vertical="center" wrapText="1"/>
    </xf>
    <xf numFmtId="1" fontId="8" fillId="0" borderId="2" xfId="0" applyNumberFormat="1" applyFont="1" applyBorder="1" applyAlignment="1">
      <alignment vertical="center" wrapText="1"/>
    </xf>
    <xf numFmtId="166" fontId="8" fillId="0" borderId="2" xfId="0" applyNumberFormat="1" applyFont="1" applyBorder="1" applyAlignment="1">
      <alignment horizontal="right" vertical="center" wrapText="1"/>
    </xf>
    <xf numFmtId="165" fontId="8" fillId="0" borderId="2" xfId="0" applyNumberFormat="1" applyFont="1" applyBorder="1" applyAlignment="1">
      <alignment vertical="center" wrapText="1"/>
    </xf>
    <xf numFmtId="3" fontId="8" fillId="0" borderId="2" xfId="0" applyNumberFormat="1" applyFont="1" applyBorder="1" applyAlignment="1">
      <alignment vertical="center" wrapText="1"/>
    </xf>
    <xf numFmtId="166" fontId="8" fillId="0" borderId="2" xfId="0" applyNumberFormat="1" applyFont="1" applyBorder="1" applyAlignment="1">
      <alignment vertical="center" wrapText="1"/>
    </xf>
    <xf numFmtId="0" fontId="8" fillId="0" borderId="2" xfId="0" applyFont="1" applyBorder="1" applyAlignment="1">
      <alignment horizontal="right" vertical="center" wrapText="1"/>
    </xf>
    <xf numFmtId="4" fontId="8" fillId="0" borderId="2" xfId="0" applyNumberFormat="1" applyFont="1" applyBorder="1" applyAlignment="1">
      <alignment horizontal="right" vertical="center" wrapText="1"/>
    </xf>
    <xf numFmtId="0" fontId="8" fillId="0" borderId="2" xfId="0" applyFont="1" applyBorder="1" applyAlignment="1">
      <alignment horizontal="center" vertical="center" wrapText="1"/>
    </xf>
    <xf numFmtId="3" fontId="8" fillId="0" borderId="2" xfId="0" applyNumberFormat="1" applyFont="1" applyBorder="1" applyAlignment="1">
      <alignment vertical="center"/>
    </xf>
    <xf numFmtId="0" fontId="8" fillId="0" borderId="2" xfId="0" applyFont="1" applyBorder="1" applyAlignment="1">
      <alignment horizontal="right" vertical="center"/>
    </xf>
    <xf numFmtId="4" fontId="8" fillId="0" borderId="2" xfId="0" applyNumberFormat="1" applyFont="1" applyBorder="1" applyAlignment="1">
      <alignment horizontal="right" vertical="center"/>
    </xf>
    <xf numFmtId="3" fontId="8" fillId="0" borderId="2" xfId="0" applyNumberFormat="1" applyFont="1" applyBorder="1" applyAlignment="1">
      <alignment horizontal="right" vertical="center"/>
    </xf>
    <xf numFmtId="166" fontId="8" fillId="0" borderId="2" xfId="0" applyNumberFormat="1" applyFont="1" applyBorder="1" applyAlignment="1">
      <alignment horizontal="center" vertical="center" wrapText="1"/>
    </xf>
    <xf numFmtId="4" fontId="8" fillId="0" borderId="2" xfId="0" applyNumberFormat="1" applyFont="1" applyBorder="1" applyAlignment="1">
      <alignment horizontal="center" vertical="center" wrapText="1"/>
    </xf>
    <xf numFmtId="170" fontId="8" fillId="0" borderId="2" xfId="0" applyNumberFormat="1" applyFont="1" applyBorder="1" applyAlignment="1">
      <alignment horizontal="center" vertical="center" wrapText="1"/>
    </xf>
    <xf numFmtId="2" fontId="8" fillId="0" borderId="2" xfId="0" applyNumberFormat="1" applyFont="1" applyBorder="1" applyAlignment="1">
      <alignment horizontal="center" vertical="center" wrapText="1"/>
    </xf>
    <xf numFmtId="0" fontId="8" fillId="0" borderId="18" xfId="0" applyFont="1" applyBorder="1" applyAlignment="1">
      <alignment vertical="center" wrapText="1"/>
    </xf>
    <xf numFmtId="3" fontId="6" fillId="0" borderId="18" xfId="0" applyNumberFormat="1" applyFont="1" applyBorder="1" applyAlignment="1">
      <alignment vertical="center" wrapText="1"/>
    </xf>
    <xf numFmtId="4" fontId="6" fillId="0" borderId="18" xfId="0" applyNumberFormat="1" applyFont="1" applyBorder="1" applyAlignment="1">
      <alignment vertical="center" wrapText="1"/>
    </xf>
    <xf numFmtId="165" fontId="6" fillId="0" borderId="18" xfId="0" applyNumberFormat="1" applyFont="1" applyBorder="1" applyAlignment="1">
      <alignment horizontal="center" vertical="center" wrapText="1"/>
    </xf>
    <xf numFmtId="1" fontId="8" fillId="0" borderId="18" xfId="0" applyNumberFormat="1" applyFont="1" applyBorder="1" applyAlignment="1">
      <alignment vertical="center" wrapText="1"/>
    </xf>
    <xf numFmtId="4" fontId="8" fillId="0" borderId="18" xfId="0" applyNumberFormat="1" applyFont="1" applyBorder="1" applyAlignment="1">
      <alignment vertical="center" wrapText="1"/>
    </xf>
    <xf numFmtId="1" fontId="6" fillId="0" borderId="18" xfId="0" applyNumberFormat="1" applyFont="1" applyBorder="1" applyAlignment="1">
      <alignment vertical="center" wrapText="1"/>
    </xf>
    <xf numFmtId="166" fontId="6" fillId="0" borderId="18" xfId="0" applyNumberFormat="1" applyFont="1" applyBorder="1" applyAlignment="1">
      <alignment vertical="center" wrapText="1"/>
    </xf>
    <xf numFmtId="165" fontId="6" fillId="0" borderId="18" xfId="0" applyNumberFormat="1" applyFont="1" applyBorder="1" applyAlignment="1">
      <alignment vertical="center" wrapText="1"/>
    </xf>
    <xf numFmtId="0" fontId="6" fillId="0" borderId="18" xfId="0" applyFont="1" applyBorder="1" applyAlignment="1">
      <alignment horizontal="right" vertical="center" wrapText="1"/>
    </xf>
    <xf numFmtId="4" fontId="6" fillId="0" borderId="18" xfId="0" applyNumberFormat="1" applyFont="1" applyBorder="1" applyAlignment="1">
      <alignment horizontal="right" vertical="center" wrapText="1"/>
    </xf>
    <xf numFmtId="0" fontId="6" fillId="0" borderId="18" xfId="0" applyFont="1" applyBorder="1" applyAlignment="1">
      <alignment vertical="center" wrapText="1"/>
    </xf>
    <xf numFmtId="4" fontId="6" fillId="0" borderId="18" xfId="0" applyNumberFormat="1" applyFont="1" applyBorder="1" applyAlignment="1">
      <alignment vertical="center"/>
    </xf>
    <xf numFmtId="1" fontId="6" fillId="0" borderId="18" xfId="0" applyNumberFormat="1" applyFont="1" applyBorder="1" applyAlignment="1">
      <alignment horizontal="right" vertical="center"/>
    </xf>
    <xf numFmtId="4" fontId="6" fillId="0" borderId="18" xfId="0" applyNumberFormat="1" applyFont="1" applyBorder="1" applyAlignment="1">
      <alignment horizontal="right" vertical="center"/>
    </xf>
    <xf numFmtId="1" fontId="3" fillId="0" borderId="2" xfId="0" applyNumberFormat="1" applyFont="1" applyBorder="1" applyAlignment="1">
      <alignment horizontal="center" vertical="center"/>
    </xf>
    <xf numFmtId="1" fontId="3" fillId="0" borderId="2" xfId="0" applyNumberFormat="1" applyFont="1" applyBorder="1" applyAlignment="1">
      <alignment horizontal="right" vertical="center"/>
    </xf>
    <xf numFmtId="0" fontId="6" fillId="0" borderId="3" xfId="0" applyFont="1" applyBorder="1" applyAlignment="1">
      <alignment vertical="center" wrapText="1"/>
    </xf>
    <xf numFmtId="165" fontId="8" fillId="0" borderId="2" xfId="0" applyNumberFormat="1" applyFont="1" applyBorder="1" applyAlignment="1">
      <alignment horizontal="right" vertical="center" wrapText="1"/>
    </xf>
    <xf numFmtId="1" fontId="8" fillId="0" borderId="2" xfId="0" applyNumberFormat="1" applyFont="1" applyBorder="1" applyAlignment="1">
      <alignment horizontal="right" vertical="center" wrapText="1"/>
    </xf>
    <xf numFmtId="3" fontId="8" fillId="0" borderId="2" xfId="0" applyNumberFormat="1" applyFont="1" applyBorder="1" applyAlignment="1">
      <alignment horizontal="right" vertical="center" wrapText="1"/>
    </xf>
    <xf numFmtId="1" fontId="8" fillId="0" borderId="2" xfId="0" applyNumberFormat="1" applyFont="1" applyBorder="1" applyAlignment="1">
      <alignment horizontal="right" vertical="center"/>
    </xf>
    <xf numFmtId="165" fontId="8" fillId="0" borderId="4" xfId="0" applyNumberFormat="1" applyFont="1" applyBorder="1" applyAlignment="1">
      <alignment horizontal="center" vertical="center" wrapText="1"/>
    </xf>
    <xf numFmtId="2" fontId="8" fillId="0" borderId="2" xfId="0" applyNumberFormat="1" applyFont="1" applyBorder="1" applyAlignment="1">
      <alignment horizontal="right" vertical="center" wrapText="1"/>
    </xf>
    <xf numFmtId="1" fontId="8" fillId="0" borderId="18" xfId="0" applyNumberFormat="1" applyFont="1" applyBorder="1" applyAlignment="1">
      <alignment horizontal="right" vertical="center" wrapText="1"/>
    </xf>
    <xf numFmtId="4" fontId="8" fillId="0" borderId="18" xfId="0" applyNumberFormat="1" applyFont="1" applyBorder="1" applyAlignment="1">
      <alignment horizontal="right" vertical="center" wrapText="1"/>
    </xf>
    <xf numFmtId="165" fontId="8" fillId="0" borderId="18" xfId="0" applyNumberFormat="1" applyFont="1" applyBorder="1" applyAlignment="1">
      <alignment horizontal="right" vertical="center" wrapText="1"/>
    </xf>
    <xf numFmtId="3" fontId="8" fillId="0" borderId="18" xfId="0" applyNumberFormat="1" applyFont="1" applyBorder="1" applyAlignment="1">
      <alignment horizontal="right" vertical="center" wrapText="1"/>
    </xf>
    <xf numFmtId="2" fontId="8" fillId="0" borderId="18" xfId="0" applyNumberFormat="1" applyFont="1" applyBorder="1" applyAlignment="1">
      <alignment horizontal="right" vertical="center" wrapText="1"/>
    </xf>
    <xf numFmtId="166" fontId="6" fillId="0" borderId="2" xfId="0" applyNumberFormat="1" applyFont="1" applyBorder="1" applyAlignment="1">
      <alignment vertical="center"/>
    </xf>
    <xf numFmtId="165" fontId="6" fillId="0" borderId="2" xfId="0" applyNumberFormat="1" applyFont="1" applyBorder="1" applyAlignment="1">
      <alignment horizontal="right" vertical="center"/>
    </xf>
    <xf numFmtId="0" fontId="4" fillId="0" borderId="2" xfId="0" applyFont="1" applyBorder="1" applyAlignment="1">
      <alignment vertical="center" wrapText="1"/>
    </xf>
    <xf numFmtId="0" fontId="12" fillId="0" borderId="0" xfId="0" applyFont="1"/>
    <xf numFmtId="0" fontId="13" fillId="0" borderId="2" xfId="0" applyFont="1" applyBorder="1" applyAlignment="1">
      <alignment vertical="center" wrapText="1"/>
    </xf>
    <xf numFmtId="4" fontId="13" fillId="0" borderId="2" xfId="0" applyNumberFormat="1" applyFont="1" applyBorder="1" applyAlignment="1">
      <alignment vertical="center" wrapText="1"/>
    </xf>
    <xf numFmtId="165" fontId="13" fillId="0" borderId="2" xfId="0" applyNumberFormat="1" applyFont="1" applyBorder="1" applyAlignment="1">
      <alignment horizontal="center" vertical="center" wrapText="1"/>
    </xf>
    <xf numFmtId="1" fontId="13" fillId="0" borderId="2" xfId="0" applyNumberFormat="1" applyFont="1" applyBorder="1" applyAlignment="1">
      <alignment vertical="center" wrapText="1"/>
    </xf>
    <xf numFmtId="166" fontId="13" fillId="0" borderId="2" xfId="0" applyNumberFormat="1" applyFont="1" applyBorder="1" applyAlignment="1">
      <alignment horizontal="right" vertical="center" wrapText="1"/>
    </xf>
    <xf numFmtId="4" fontId="13" fillId="0" borderId="2" xfId="0" applyNumberFormat="1" applyFont="1" applyBorder="1" applyAlignment="1">
      <alignment horizontal="right" vertical="center" wrapText="1"/>
    </xf>
    <xf numFmtId="165" fontId="13" fillId="0" borderId="2" xfId="0" applyNumberFormat="1" applyFont="1" applyBorder="1" applyAlignment="1">
      <alignment vertical="center" wrapText="1"/>
    </xf>
    <xf numFmtId="3" fontId="13" fillId="0" borderId="2" xfId="0" applyNumberFormat="1" applyFont="1" applyBorder="1" applyAlignment="1">
      <alignment vertical="center" wrapText="1"/>
    </xf>
    <xf numFmtId="166" fontId="13" fillId="0" borderId="2" xfId="0" applyNumberFormat="1" applyFont="1" applyBorder="1" applyAlignment="1">
      <alignment vertical="center" wrapText="1"/>
    </xf>
    <xf numFmtId="0" fontId="13" fillId="0" borderId="2" xfId="0" applyFont="1" applyBorder="1" applyAlignment="1">
      <alignment horizontal="right" vertical="center" wrapText="1"/>
    </xf>
    <xf numFmtId="4" fontId="13" fillId="0" borderId="2" xfId="0" applyNumberFormat="1" applyFont="1" applyBorder="1" applyAlignment="1">
      <alignment vertical="center"/>
    </xf>
    <xf numFmtId="3" fontId="13" fillId="0" borderId="2" xfId="0" applyNumberFormat="1" applyFont="1" applyBorder="1" applyAlignment="1">
      <alignment vertical="center"/>
    </xf>
    <xf numFmtId="0" fontId="13" fillId="0" borderId="2" xfId="0" applyFont="1" applyBorder="1" applyAlignment="1">
      <alignment horizontal="right" vertical="center"/>
    </xf>
    <xf numFmtId="4" fontId="13" fillId="0" borderId="2" xfId="0" applyNumberFormat="1" applyFont="1" applyBorder="1" applyAlignment="1">
      <alignment horizontal="right" vertical="center"/>
    </xf>
    <xf numFmtId="3" fontId="13" fillId="0" borderId="2" xfId="0" applyNumberFormat="1" applyFont="1" applyBorder="1" applyAlignment="1">
      <alignment horizontal="right" vertical="center"/>
    </xf>
    <xf numFmtId="3" fontId="12" fillId="0" borderId="0" xfId="0" applyNumberFormat="1" applyFont="1"/>
    <xf numFmtId="1" fontId="12" fillId="0" borderId="0" xfId="0" applyNumberFormat="1" applyFont="1"/>
    <xf numFmtId="0" fontId="14" fillId="0" borderId="2" xfId="0" applyFont="1" applyBorder="1" applyAlignment="1">
      <alignment vertical="center" wrapText="1"/>
    </xf>
    <xf numFmtId="2" fontId="8" fillId="0" borderId="2" xfId="0" applyNumberFormat="1" applyFont="1" applyBorder="1" applyAlignment="1">
      <alignment vertical="center" wrapText="1"/>
    </xf>
    <xf numFmtId="168" fontId="1" fillId="0" borderId="0" xfId="0" applyNumberFormat="1" applyFont="1"/>
    <xf numFmtId="168" fontId="14" fillId="0" borderId="2" xfId="0" applyNumberFormat="1" applyFont="1" applyBorder="1" applyAlignment="1">
      <alignment horizontal="left" vertical="center" wrapText="1"/>
    </xf>
    <xf numFmtId="168" fontId="8" fillId="0" borderId="2" xfId="0" applyNumberFormat="1" applyFont="1" applyBorder="1" applyAlignment="1">
      <alignment vertical="center" wrapText="1"/>
    </xf>
    <xf numFmtId="168" fontId="8" fillId="0" borderId="2" xfId="0" applyNumberFormat="1" applyFont="1" applyBorder="1" applyAlignment="1">
      <alignment horizontal="center" vertical="center" wrapText="1"/>
    </xf>
    <xf numFmtId="168" fontId="8" fillId="0" borderId="2" xfId="0" applyNumberFormat="1" applyFont="1" applyBorder="1" applyAlignment="1">
      <alignment horizontal="right" vertical="center" wrapText="1"/>
    </xf>
    <xf numFmtId="168" fontId="8" fillId="0" borderId="2" xfId="0" applyNumberFormat="1" applyFont="1" applyBorder="1" applyAlignment="1">
      <alignment vertical="center"/>
    </xf>
    <xf numFmtId="168" fontId="8" fillId="0" borderId="2" xfId="0" applyNumberFormat="1" applyFont="1" applyBorder="1" applyAlignment="1">
      <alignment horizontal="right" vertical="center"/>
    </xf>
    <xf numFmtId="0" fontId="15" fillId="0" borderId="0" xfId="0" applyFont="1"/>
    <xf numFmtId="0" fontId="16" fillId="0" borderId="2" xfId="0" applyFont="1" applyBorder="1" applyAlignment="1">
      <alignment vertical="center" wrapText="1"/>
    </xf>
    <xf numFmtId="4" fontId="4" fillId="0" borderId="2" xfId="0" applyNumberFormat="1" applyFont="1" applyBorder="1" applyAlignment="1">
      <alignment vertical="center" wrapText="1"/>
    </xf>
    <xf numFmtId="165" fontId="4" fillId="0" borderId="2" xfId="0" applyNumberFormat="1" applyFont="1" applyBorder="1" applyAlignment="1">
      <alignment horizontal="center" vertical="center" wrapText="1"/>
    </xf>
    <xf numFmtId="1" fontId="4" fillId="0" borderId="2" xfId="0" applyNumberFormat="1" applyFont="1" applyBorder="1" applyAlignment="1">
      <alignment vertical="center" wrapText="1"/>
    </xf>
    <xf numFmtId="166" fontId="4" fillId="0" borderId="2" xfId="0" applyNumberFormat="1" applyFont="1" applyBorder="1" applyAlignment="1">
      <alignment horizontal="right" vertical="center" wrapText="1"/>
    </xf>
    <xf numFmtId="4" fontId="4" fillId="0" borderId="2" xfId="0" applyNumberFormat="1" applyFont="1" applyBorder="1" applyAlignment="1">
      <alignment horizontal="right" vertical="center" wrapText="1"/>
    </xf>
    <xf numFmtId="165" fontId="4" fillId="0" borderId="2" xfId="0" applyNumberFormat="1" applyFont="1" applyBorder="1" applyAlignment="1">
      <alignment vertical="center" wrapText="1"/>
    </xf>
    <xf numFmtId="3" fontId="4" fillId="0" borderId="2" xfId="0" applyNumberFormat="1" applyFont="1" applyBorder="1" applyAlignment="1">
      <alignment vertical="center" wrapText="1"/>
    </xf>
    <xf numFmtId="166" fontId="4" fillId="0" borderId="2" xfId="0" applyNumberFormat="1" applyFont="1" applyBorder="1" applyAlignment="1">
      <alignment vertical="center" wrapText="1"/>
    </xf>
    <xf numFmtId="0" fontId="4" fillId="0" borderId="2" xfId="0" applyFont="1" applyBorder="1" applyAlignment="1">
      <alignment horizontal="right" vertical="center" wrapText="1"/>
    </xf>
    <xf numFmtId="2" fontId="4" fillId="0" borderId="2" xfId="0" applyNumberFormat="1" applyFont="1" applyBorder="1" applyAlignment="1">
      <alignment vertical="center" wrapText="1"/>
    </xf>
    <xf numFmtId="4" fontId="4" fillId="0" borderId="2" xfId="0" applyNumberFormat="1" applyFont="1" applyBorder="1" applyAlignment="1">
      <alignment vertical="center"/>
    </xf>
    <xf numFmtId="3" fontId="4" fillId="0" borderId="2" xfId="0" applyNumberFormat="1" applyFont="1" applyBorder="1" applyAlignment="1">
      <alignment vertical="center"/>
    </xf>
    <xf numFmtId="0" fontId="4" fillId="0" borderId="2" xfId="0" applyFont="1" applyBorder="1" applyAlignment="1">
      <alignment horizontal="right" vertical="center"/>
    </xf>
    <xf numFmtId="4" fontId="4" fillId="0" borderId="2" xfId="0" applyNumberFormat="1" applyFont="1" applyBorder="1" applyAlignment="1">
      <alignment horizontal="right" vertical="center"/>
    </xf>
    <xf numFmtId="3" fontId="4" fillId="0" borderId="2" xfId="0" applyNumberFormat="1" applyFont="1" applyBorder="1" applyAlignment="1">
      <alignment horizontal="right" vertical="center"/>
    </xf>
    <xf numFmtId="3" fontId="15" fillId="0" borderId="0" xfId="0" applyNumberFormat="1" applyFont="1"/>
    <xf numFmtId="1" fontId="15" fillId="0" borderId="0" xfId="0" applyNumberFormat="1" applyFont="1"/>
    <xf numFmtId="0" fontId="14" fillId="0" borderId="2" xfId="0" applyFont="1" applyBorder="1" applyAlignment="1">
      <alignment horizontal="left" vertical="center" wrapText="1"/>
    </xf>
    <xf numFmtId="0" fontId="8" fillId="0" borderId="2" xfId="0" applyFont="1" applyBorder="1"/>
    <xf numFmtId="3" fontId="6" fillId="0" borderId="2" xfId="0" applyNumberFormat="1" applyFont="1" applyBorder="1"/>
    <xf numFmtId="4" fontId="6" fillId="0" borderId="2" xfId="0" applyNumberFormat="1" applyFont="1" applyBorder="1"/>
    <xf numFmtId="165" fontId="6" fillId="0" borderId="2" xfId="0" applyNumberFormat="1" applyFont="1" applyBorder="1" applyAlignment="1">
      <alignment horizontal="center"/>
    </xf>
    <xf numFmtId="1" fontId="6" fillId="0" borderId="2" xfId="0" applyNumberFormat="1" applyFont="1" applyBorder="1"/>
    <xf numFmtId="166" fontId="6" fillId="0" borderId="2" xfId="0" applyNumberFormat="1" applyFont="1" applyBorder="1"/>
    <xf numFmtId="165" fontId="6" fillId="0" borderId="2" xfId="0" applyNumberFormat="1" applyFont="1" applyBorder="1"/>
    <xf numFmtId="166" fontId="6" fillId="0" borderId="2" xfId="0" applyNumberFormat="1" applyFont="1" applyBorder="1" applyAlignment="1">
      <alignment horizontal="right"/>
    </xf>
    <xf numFmtId="4" fontId="8" fillId="0" borderId="2" xfId="0" applyNumberFormat="1" applyFont="1" applyBorder="1" applyAlignment="1">
      <alignment horizontal="center" vertical="center"/>
    </xf>
    <xf numFmtId="1" fontId="8" fillId="0" borderId="2" xfId="0" applyNumberFormat="1" applyFont="1" applyBorder="1" applyAlignment="1">
      <alignment horizontal="center" vertical="center"/>
    </xf>
    <xf numFmtId="0" fontId="6" fillId="0" borderId="2" xfId="0" applyFont="1" applyBorder="1" applyAlignment="1">
      <alignment horizontal="justify" vertical="center" wrapText="1"/>
    </xf>
    <xf numFmtId="4" fontId="6" fillId="0" borderId="2" xfId="0" applyNumberFormat="1" applyFont="1" applyBorder="1" applyAlignment="1">
      <alignment horizontal="justify" vertical="center" wrapText="1"/>
    </xf>
    <xf numFmtId="1" fontId="6" fillId="0" borderId="2" xfId="0" applyNumberFormat="1" applyFont="1" applyBorder="1" applyAlignment="1">
      <alignment horizontal="justify" vertical="center" wrapText="1"/>
    </xf>
    <xf numFmtId="1" fontId="8" fillId="0" borderId="2" xfId="0" applyNumberFormat="1" applyFont="1" applyBorder="1" applyAlignment="1">
      <alignment horizontal="justify" vertical="center" wrapText="1"/>
    </xf>
    <xf numFmtId="4" fontId="8" fillId="0" borderId="2" xfId="0" applyNumberFormat="1" applyFont="1" applyBorder="1" applyAlignment="1">
      <alignment horizontal="justify" vertical="center" wrapText="1"/>
    </xf>
    <xf numFmtId="165" fontId="8" fillId="0" borderId="2" xfId="0" applyNumberFormat="1" applyFont="1" applyBorder="1" applyAlignment="1">
      <alignment horizontal="justify" vertical="center" wrapText="1"/>
    </xf>
    <xf numFmtId="166" fontId="8" fillId="0" borderId="2" xfId="0" applyNumberFormat="1" applyFont="1" applyBorder="1" applyAlignment="1">
      <alignment horizontal="justify" vertical="center" wrapText="1"/>
    </xf>
    <xf numFmtId="1" fontId="8" fillId="0" borderId="2" xfId="0" applyNumberFormat="1" applyFont="1" applyBorder="1" applyAlignment="1">
      <alignment horizontal="right" wrapText="1"/>
    </xf>
    <xf numFmtId="4" fontId="8" fillId="0" borderId="2" xfId="0" applyNumberFormat="1" applyFont="1" applyBorder="1" applyAlignment="1">
      <alignment horizontal="right" wrapText="1"/>
    </xf>
    <xf numFmtId="166" fontId="8" fillId="0" borderId="2" xfId="0" applyNumberFormat="1" applyFont="1" applyBorder="1" applyAlignment="1">
      <alignment horizontal="right" wrapText="1"/>
    </xf>
    <xf numFmtId="0" fontId="8" fillId="0" borderId="2" xfId="0" applyFont="1" applyBorder="1" applyAlignment="1">
      <alignment horizontal="right" wrapText="1"/>
    </xf>
    <xf numFmtId="4" fontId="8" fillId="0" borderId="2" xfId="0" applyNumberFormat="1" applyFont="1" applyBorder="1" applyAlignment="1">
      <alignment horizontal="right"/>
    </xf>
    <xf numFmtId="3" fontId="8" fillId="0" borderId="2" xfId="0" applyNumberFormat="1" applyFont="1" applyBorder="1" applyAlignment="1">
      <alignment horizontal="right" wrapText="1"/>
    </xf>
    <xf numFmtId="0" fontId="6" fillId="0" borderId="0" xfId="0" applyFont="1" applyAlignment="1">
      <alignment horizontal="justify" vertical="center" wrapText="1"/>
    </xf>
    <xf numFmtId="4" fontId="6" fillId="0" borderId="0" xfId="0" applyNumberFormat="1" applyFont="1" applyAlignment="1">
      <alignment horizontal="justify" vertical="center" wrapText="1"/>
    </xf>
    <xf numFmtId="165" fontId="6" fillId="0" borderId="0" xfId="0" applyNumberFormat="1" applyFont="1" applyAlignment="1">
      <alignment horizontal="center" vertical="center" wrapText="1"/>
    </xf>
    <xf numFmtId="1" fontId="6" fillId="0" borderId="0" xfId="0" applyNumberFormat="1" applyFont="1" applyAlignment="1">
      <alignment horizontal="justify" vertical="center" wrapText="1"/>
    </xf>
    <xf numFmtId="166" fontId="6" fillId="0" borderId="0" xfId="0" applyNumberFormat="1" applyFont="1" applyAlignment="1">
      <alignment horizontal="justify" vertical="center" wrapText="1"/>
    </xf>
    <xf numFmtId="165" fontId="6" fillId="0" borderId="0" xfId="0" applyNumberFormat="1" applyFont="1" applyAlignment="1">
      <alignment horizontal="justify" vertical="center" wrapText="1"/>
    </xf>
    <xf numFmtId="3" fontId="6" fillId="0" borderId="0" xfId="0" applyNumberFormat="1" applyFont="1" applyAlignment="1">
      <alignment horizontal="justify" vertical="center" wrapText="1"/>
    </xf>
    <xf numFmtId="1" fontId="8" fillId="0" borderId="0" xfId="0" applyNumberFormat="1" applyFont="1" applyAlignment="1">
      <alignment horizontal="right" wrapText="1"/>
    </xf>
    <xf numFmtId="4" fontId="8" fillId="0" borderId="0" xfId="0" applyNumberFormat="1" applyFont="1" applyAlignment="1">
      <alignment horizontal="right" wrapText="1"/>
    </xf>
    <xf numFmtId="166" fontId="8" fillId="0" borderId="0" xfId="0" applyNumberFormat="1" applyFont="1" applyAlignment="1">
      <alignment horizontal="right" wrapText="1"/>
    </xf>
    <xf numFmtId="0" fontId="8" fillId="0" borderId="0" xfId="0" applyFont="1" applyAlignment="1">
      <alignment horizontal="right" wrapText="1"/>
    </xf>
    <xf numFmtId="4" fontId="8" fillId="0" borderId="0" xfId="0" applyNumberFormat="1" applyFont="1" applyAlignment="1">
      <alignment horizontal="right"/>
    </xf>
    <xf numFmtId="3" fontId="8" fillId="0" borderId="0" xfId="0" applyNumberFormat="1" applyFont="1" applyAlignment="1">
      <alignment horizontal="right" wrapText="1"/>
    </xf>
    <xf numFmtId="1" fontId="8" fillId="0" borderId="0" xfId="0" applyNumberFormat="1" applyFont="1" applyAlignment="1">
      <alignment horizontal="right"/>
    </xf>
    <xf numFmtId="3" fontId="6" fillId="0" borderId="0" xfId="0" applyNumberFormat="1" applyFont="1" applyAlignment="1">
      <alignment horizontal="right" vertical="center" wrapText="1"/>
    </xf>
    <xf numFmtId="4" fontId="6" fillId="0" borderId="0" xfId="0" applyNumberFormat="1" applyFont="1" applyAlignment="1">
      <alignment horizontal="right" vertical="center" wrapText="1"/>
    </xf>
    <xf numFmtId="14" fontId="8" fillId="0" borderId="0" xfId="0" applyNumberFormat="1" applyFont="1"/>
    <xf numFmtId="4" fontId="1" fillId="0" borderId="0" xfId="0" applyNumberFormat="1" applyFont="1" applyAlignment="1">
      <alignment horizontal="right"/>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3" xfId="0" applyFont="1" applyBorder="1" applyAlignment="1">
      <alignment vertical="center" wrapText="1"/>
    </xf>
    <xf numFmtId="0" fontId="6" fillId="0" borderId="4" xfId="0" applyFont="1" applyBorder="1" applyAlignment="1">
      <alignment vertical="center" wrapText="1"/>
    </xf>
    <xf numFmtId="0" fontId="8" fillId="0" borderId="0" xfId="0" applyFont="1" applyAlignment="1">
      <alignment horizontal="center" vertical="center"/>
    </xf>
    <xf numFmtId="3" fontId="6" fillId="0" borderId="3" xfId="0" applyNumberFormat="1" applyFont="1" applyBorder="1" applyAlignment="1">
      <alignment horizontal="center" vertical="center" wrapText="1"/>
    </xf>
    <xf numFmtId="0" fontId="9" fillId="0" borderId="0" xfId="0" applyFont="1" applyAlignment="1">
      <alignment horizontal="center" vertical="center"/>
    </xf>
    <xf numFmtId="0" fontId="6" fillId="0" borderId="1" xfId="0" applyFont="1" applyBorder="1" applyAlignment="1">
      <alignment horizontal="justify" vertical="center" wrapText="1"/>
    </xf>
    <xf numFmtId="0" fontId="6" fillId="0" borderId="20" xfId="0" applyFont="1" applyBorder="1" applyAlignment="1">
      <alignment horizontal="justify" vertical="center" wrapText="1"/>
    </xf>
    <xf numFmtId="0" fontId="6" fillId="0" borderId="6" xfId="0" applyFont="1" applyBorder="1" applyAlignment="1">
      <alignment horizontal="justify" vertical="center" wrapText="1"/>
    </xf>
    <xf numFmtId="165" fontId="6" fillId="0" borderId="3" xfId="0" applyNumberFormat="1" applyFont="1" applyBorder="1" applyAlignment="1">
      <alignment horizontal="center" vertical="center" wrapText="1"/>
    </xf>
    <xf numFmtId="165" fontId="6" fillId="0" borderId="4" xfId="0" applyNumberFormat="1" applyFont="1" applyBorder="1" applyAlignment="1">
      <alignment horizontal="center" vertical="center" wrapText="1"/>
    </xf>
    <xf numFmtId="3" fontId="6" fillId="0" borderId="4" xfId="0" applyNumberFormat="1" applyFont="1" applyBorder="1" applyAlignment="1">
      <alignment horizontal="center" vertical="center" wrapText="1"/>
    </xf>
    <xf numFmtId="1" fontId="6" fillId="0" borderId="3" xfId="0" applyNumberFormat="1" applyFont="1" applyBorder="1" applyAlignment="1">
      <alignment horizontal="center" vertical="center" wrapText="1"/>
    </xf>
    <xf numFmtId="1" fontId="6" fillId="0" borderId="4" xfId="0" applyNumberFormat="1" applyFont="1" applyBorder="1" applyAlignment="1">
      <alignment horizontal="center" vertical="center" wrapText="1"/>
    </xf>
    <xf numFmtId="1" fontId="3" fillId="0" borderId="2" xfId="0" applyNumberFormat="1" applyFont="1" applyBorder="1" applyAlignment="1">
      <alignment horizontal="center" vertical="center"/>
    </xf>
    <xf numFmtId="1" fontId="6" fillId="0" borderId="2" xfId="0" applyNumberFormat="1" applyFont="1" applyBorder="1" applyAlignment="1">
      <alignment horizontal="center" vertical="center"/>
    </xf>
    <xf numFmtId="0" fontId="9" fillId="0" borderId="18" xfId="0" applyFont="1" applyBorder="1" applyAlignment="1">
      <alignment horizontal="center" vertical="center" wrapText="1"/>
    </xf>
    <xf numFmtId="0" fontId="6" fillId="0" borderId="3" xfId="0" applyFont="1" applyBorder="1" applyAlignment="1">
      <alignment horizontal="justify" vertical="center" wrapText="1"/>
    </xf>
    <xf numFmtId="0" fontId="6" fillId="0" borderId="4" xfId="0" applyFont="1" applyBorder="1" applyAlignment="1">
      <alignment horizontal="justify" vertical="center" wrapText="1"/>
    </xf>
    <xf numFmtId="0" fontId="6" fillId="0" borderId="1" xfId="0" applyFont="1" applyBorder="1" applyAlignment="1">
      <alignment horizontal="center" vertical="center" wrapText="1"/>
    </xf>
    <xf numFmtId="0" fontId="6" fillId="0" borderId="19" xfId="0" applyFont="1" applyBorder="1" applyAlignment="1">
      <alignment horizontal="center" vertical="center" wrapText="1"/>
    </xf>
    <xf numFmtId="0" fontId="0" fillId="0" borderId="4" xfId="0" applyBorder="1" applyAlignment="1">
      <alignment horizontal="center" vertical="center" wrapText="1"/>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1" xfId="0" applyFont="1" applyBorder="1" applyAlignment="1">
      <alignment horizontal="justify" vertical="center"/>
    </xf>
    <xf numFmtId="0" fontId="8" fillId="0" borderId="6" xfId="0" applyFont="1" applyBorder="1" applyAlignment="1">
      <alignment horizontal="justify" vertical="center"/>
    </xf>
    <xf numFmtId="3" fontId="8" fillId="0" borderId="3" xfId="0" applyNumberFormat="1" applyFont="1" applyBorder="1" applyAlignment="1">
      <alignment horizontal="center" vertical="center"/>
    </xf>
    <xf numFmtId="3" fontId="8" fillId="0" borderId="4" xfId="0" applyNumberFormat="1" applyFont="1" applyBorder="1" applyAlignment="1">
      <alignment horizontal="center" vertical="center"/>
    </xf>
    <xf numFmtId="0" fontId="9" fillId="0" borderId="2" xfId="0" applyFont="1" applyBorder="1" applyAlignment="1">
      <alignment horizontal="center" vertical="center"/>
    </xf>
    <xf numFmtId="0" fontId="9" fillId="0" borderId="2" xfId="0" applyFont="1" applyBorder="1" applyAlignment="1">
      <alignment horizontal="center"/>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1"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1" fontId="9" fillId="0" borderId="3" xfId="0" applyNumberFormat="1" applyFont="1" applyBorder="1" applyAlignment="1">
      <alignment horizontal="center" vertical="center"/>
    </xf>
    <xf numFmtId="1" fontId="9" fillId="0" borderId="4" xfId="0" applyNumberFormat="1" applyFont="1" applyBorder="1" applyAlignment="1">
      <alignment horizontal="center" vertical="center"/>
    </xf>
    <xf numFmtId="0" fontId="9" fillId="0" borderId="4" xfId="0" applyFont="1" applyBorder="1" applyAlignment="1">
      <alignment horizontal="center" vertical="center"/>
    </xf>
    <xf numFmtId="3" fontId="9" fillId="0" borderId="2" xfId="0" applyNumberFormat="1" applyFont="1" applyBorder="1" applyAlignment="1">
      <alignment horizontal="center" vertical="center"/>
    </xf>
    <xf numFmtId="0" fontId="0" fillId="0" borderId="4" xfId="0" applyBorder="1" applyAlignment="1">
      <alignment horizontal="center" vertical="center"/>
    </xf>
    <xf numFmtId="9" fontId="9" fillId="0" borderId="6" xfId="1" applyNumberFormat="1" applyFont="1" applyBorder="1" applyAlignment="1">
      <alignment horizontal="center" vertical="center"/>
    </xf>
    <xf numFmtId="14" fontId="9" fillId="0" borderId="3" xfId="0" applyNumberFormat="1" applyFont="1" applyBorder="1" applyAlignment="1">
      <alignment horizontal="center" vertical="center"/>
    </xf>
    <xf numFmtId="14" fontId="9" fillId="0" borderId="4" xfId="0" applyNumberFormat="1" applyFont="1" applyBorder="1" applyAlignment="1">
      <alignment horizontal="center" vertical="center"/>
    </xf>
    <xf numFmtId="1" fontId="9" fillId="0" borderId="5" xfId="0" applyNumberFormat="1" applyFont="1" applyBorder="1" applyAlignment="1">
      <alignment horizontal="center" vertical="center"/>
    </xf>
    <xf numFmtId="3" fontId="9" fillId="0" borderId="3" xfId="0" applyNumberFormat="1" applyFont="1" applyBorder="1" applyAlignment="1">
      <alignment horizontal="center" vertical="center"/>
    </xf>
    <xf numFmtId="3" fontId="9" fillId="0" borderId="4" xfId="0" applyNumberFormat="1" applyFont="1" applyBorder="1" applyAlignment="1">
      <alignment horizontal="center" vertical="center"/>
    </xf>
    <xf numFmtId="3" fontId="2" fillId="0" borderId="2" xfId="0" applyNumberFormat="1" applyFont="1" applyBorder="1" applyAlignment="1">
      <alignment horizontal="center" vertical="center"/>
    </xf>
    <xf numFmtId="1" fontId="9" fillId="0" borderId="2" xfId="0" applyNumberFormat="1" applyFont="1" applyBorder="1" applyAlignment="1">
      <alignment horizontal="center" vertical="center"/>
    </xf>
    <xf numFmtId="166" fontId="9" fillId="0" borderId="2" xfId="0" applyNumberFormat="1" applyFont="1" applyBorder="1" applyAlignment="1">
      <alignment horizontal="center" vertical="center"/>
    </xf>
    <xf numFmtId="166" fontId="9" fillId="0" borderId="3" xfId="0" applyNumberFormat="1" applyFont="1" applyBorder="1" applyAlignment="1">
      <alignment horizontal="left" vertical="center"/>
    </xf>
    <xf numFmtId="166" fontId="9" fillId="0" borderId="4" xfId="0" applyNumberFormat="1" applyFont="1" applyBorder="1" applyAlignment="1">
      <alignment horizontal="left" vertical="center"/>
    </xf>
    <xf numFmtId="1" fontId="2" fillId="0" borderId="3" xfId="0" applyNumberFormat="1" applyFont="1" applyBorder="1" applyAlignment="1">
      <alignment horizontal="center" vertical="center"/>
    </xf>
    <xf numFmtId="1" fontId="2" fillId="0" borderId="4" xfId="0" applyNumberFormat="1" applyFont="1" applyBorder="1" applyAlignment="1">
      <alignment horizontal="center" vertical="center"/>
    </xf>
    <xf numFmtId="169" fontId="2" fillId="0" borderId="2" xfId="1" applyNumberFormat="1" applyFont="1" applyBorder="1" applyAlignment="1">
      <alignment horizontal="center" vertical="center"/>
    </xf>
    <xf numFmtId="0" fontId="6" fillId="0" borderId="3" xfId="0" applyFont="1" applyBorder="1" applyAlignment="1">
      <alignment horizontal="center"/>
    </xf>
    <xf numFmtId="0" fontId="6" fillId="0" borderId="4" xfId="0" applyFont="1" applyBorder="1" applyAlignment="1">
      <alignment horizontal="center"/>
    </xf>
    <xf numFmtId="165" fontId="1" fillId="0" borderId="3" xfId="0" applyNumberFormat="1" applyFont="1" applyBorder="1" applyAlignment="1">
      <alignment horizontal="center"/>
    </xf>
    <xf numFmtId="165" fontId="1" fillId="0" borderId="4" xfId="0" applyNumberFormat="1" applyFont="1" applyBorder="1" applyAlignment="1">
      <alignment horizontal="center"/>
    </xf>
    <xf numFmtId="1" fontId="7" fillId="0" borderId="3" xfId="0" applyNumberFormat="1" applyFont="1" applyBorder="1" applyAlignment="1">
      <alignment horizontal="center"/>
    </xf>
    <xf numFmtId="1" fontId="7" fillId="0" borderId="4" xfId="0" applyNumberFormat="1" applyFont="1" applyBorder="1" applyAlignment="1">
      <alignment horizontal="center"/>
    </xf>
    <xf numFmtId="1" fontId="1" fillId="0" borderId="3" xfId="0" applyNumberFormat="1" applyFont="1" applyBorder="1" applyAlignment="1">
      <alignment horizontal="center"/>
    </xf>
    <xf numFmtId="1" fontId="1" fillId="0" borderId="4" xfId="0" applyNumberFormat="1" applyFont="1" applyBorder="1" applyAlignment="1">
      <alignment horizontal="center"/>
    </xf>
    <xf numFmtId="1" fontId="1" fillId="0" borderId="2" xfId="0" applyNumberFormat="1" applyFont="1" applyBorder="1" applyAlignment="1">
      <alignment horizontal="center"/>
    </xf>
    <xf numFmtId="165" fontId="1" fillId="0" borderId="2" xfId="0" applyNumberFormat="1" applyFont="1" applyBorder="1" applyAlignment="1">
      <alignment horizontal="center"/>
    </xf>
    <xf numFmtId="1" fontId="8" fillId="0" borderId="2" xfId="0" applyNumberFormat="1" applyFont="1" applyBorder="1" applyAlignment="1">
      <alignment horizontal="center"/>
    </xf>
    <xf numFmtId="1" fontId="6" fillId="0" borderId="3" xfId="0" applyNumberFormat="1" applyFont="1" applyBorder="1" applyAlignment="1">
      <alignment horizontal="center"/>
    </xf>
    <xf numFmtId="1" fontId="6" fillId="0" borderId="4" xfId="0" applyNumberFormat="1" applyFont="1" applyBorder="1" applyAlignment="1">
      <alignment horizontal="center"/>
    </xf>
    <xf numFmtId="9" fontId="2" fillId="0" borderId="2" xfId="1" applyNumberFormat="1" applyFont="1" applyBorder="1" applyAlignment="1">
      <alignment horizontal="center" vertical="center"/>
    </xf>
    <xf numFmtId="10" fontId="2" fillId="0" borderId="2" xfId="1" applyNumberFormat="1"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1" fontId="2" fillId="0" borderId="2" xfId="0" applyNumberFormat="1" applyFont="1" applyBorder="1" applyAlignment="1">
      <alignment horizontal="center" vertical="center"/>
    </xf>
    <xf numFmtId="166" fontId="2" fillId="0" borderId="2" xfId="0" applyNumberFormat="1" applyFont="1" applyBorder="1" applyAlignment="1">
      <alignment vertical="center"/>
    </xf>
    <xf numFmtId="0" fontId="2" fillId="0" borderId="2" xfId="0" applyFont="1" applyBorder="1" applyAlignment="1">
      <alignment vertical="center"/>
    </xf>
    <xf numFmtId="166" fontId="2" fillId="0" borderId="3" xfId="0" applyNumberFormat="1" applyFont="1" applyBorder="1" applyAlignment="1">
      <alignment horizontal="left" vertical="center"/>
    </xf>
    <xf numFmtId="166" fontId="2" fillId="0" borderId="4" xfId="0" applyNumberFormat="1" applyFont="1" applyBorder="1" applyAlignment="1">
      <alignment horizontal="left" vertical="center"/>
    </xf>
    <xf numFmtId="4" fontId="2" fillId="0" borderId="2" xfId="0" applyNumberFormat="1" applyFont="1" applyBorder="1" applyAlignment="1">
      <alignment horizontal="center" vertical="center" wrapText="1"/>
    </xf>
    <xf numFmtId="4" fontId="2" fillId="0" borderId="3" xfId="0" applyNumberFormat="1" applyFont="1" applyBorder="1" applyAlignment="1">
      <alignment horizontal="center" vertical="center"/>
    </xf>
    <xf numFmtId="4" fontId="2" fillId="0" borderId="4" xfId="0" applyNumberFormat="1" applyFont="1" applyBorder="1" applyAlignment="1">
      <alignment horizontal="center" vertical="center"/>
    </xf>
    <xf numFmtId="165" fontId="2" fillId="0" borderId="2" xfId="0" applyNumberFormat="1" applyFont="1" applyBorder="1" applyAlignment="1">
      <alignment horizontal="center" vertical="center"/>
    </xf>
    <xf numFmtId="0" fontId="2" fillId="0" borderId="0" xfId="0" applyFont="1" applyAlignment="1">
      <alignment horizontal="center" vertical="center"/>
    </xf>
    <xf numFmtId="0" fontId="19" fillId="0" borderId="2" xfId="0" applyFont="1" applyBorder="1" applyAlignment="1">
      <alignment vertical="center" wrapText="1"/>
    </xf>
  </cellXfs>
  <cellStyles count="3">
    <cellStyle name="Обычный" xfId="0" builtinId="0"/>
    <cellStyle name="Процентный" xfId="1" builtinId="5"/>
    <cellStyle name="Финансовый" xfId="2"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prstGeom prst="rect">
          <a:avLst/>
        </a:prstGeom>
        <a:noFill/>
        <a:ln>
          <a:noFill/>
        </a:ln>
        <a:effectLst/>
      </c:spPr>
      <c:txPr>
        <a:bodyPr rot="0" spcFirstLastPara="1" vertOverflow="ellipsis" vert="horz" wrap="square" anchor="ctr" anchorCtr="1"/>
        <a:lstStyle/>
        <a:p>
          <a:pPr>
            <a:defRPr sz="1400" b="0" i="0" u="none" strike="noStrike" spc="0" baseline="0">
              <a:solidFill>
                <a:schemeClr val="tx1">
                  <a:lumMod val="65000"/>
                  <a:lumOff val="35000"/>
                </a:schemeClr>
              </a:solidFill>
              <a:latin typeface="+mn-lt"/>
              <a:ea typeface="+mn-ea"/>
              <a:cs typeface="+mn-cs"/>
            </a:defRPr>
          </a:pPr>
          <a:endParaRPr lang="ru-RU"/>
        </a:p>
      </c:txPr>
    </c:title>
    <c:autoTitleDeleted val="0"/>
    <c:plotArea>
      <c:layout/>
      <c:barChart>
        <c:barDir val="col"/>
        <c:grouping val="clustered"/>
        <c:varyColors val="0"/>
        <c:ser>
          <c:idx val="0"/>
          <c:order val="0"/>
          <c:spPr>
            <a:prstGeom prst="rect">
              <a:avLst/>
            </a:prstGeom>
            <a:solidFill>
              <a:schemeClr val="accent1"/>
            </a:solidFill>
            <a:ln>
              <a:noFill/>
            </a:ln>
            <a:effectLst/>
          </c:spPr>
          <c:invertIfNegative val="0"/>
          <c:val>
            <c:numRef>
              <c:f>Лист2!$X$31:$Y$31</c:f>
            </c:numRef>
          </c:val>
        </c:ser>
        <c:ser>
          <c:idx val="1"/>
          <c:order val="1"/>
          <c:spPr>
            <a:prstGeom prst="rect">
              <a:avLst/>
            </a:prstGeom>
            <a:solidFill>
              <a:schemeClr val="accent2"/>
            </a:solidFill>
            <a:ln>
              <a:noFill/>
            </a:ln>
            <a:effectLst/>
          </c:spPr>
          <c:invertIfNegative val="0"/>
          <c:val>
            <c:numRef>
              <c:f>Лист2!$X$32:$Y$32</c:f>
            </c:numRef>
          </c:val>
        </c:ser>
        <c:dLbls>
          <c:showLegendKey val="0"/>
          <c:showVal val="0"/>
          <c:showCatName val="0"/>
          <c:showSerName val="0"/>
          <c:showPercent val="0"/>
          <c:showBubbleSize val="0"/>
        </c:dLbls>
        <c:gapWidth val="219"/>
        <c:overlap val="-27"/>
        <c:axId val="87961144"/>
        <c:axId val="87961528"/>
      </c:barChart>
      <c:catAx>
        <c:axId val="87961144"/>
        <c:scaling>
          <c:orientation val="minMax"/>
        </c:scaling>
        <c:delete val="0"/>
        <c:axPos val="b"/>
        <c:majorTickMark val="none"/>
        <c:minorTickMark val="none"/>
        <c:tickLblPos val="nextTo"/>
        <c:spPr bwMode="auto">
          <a:prstGeom prst="rect">
            <a:avLst/>
          </a:prstGeom>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baseline="0">
                <a:solidFill>
                  <a:schemeClr val="tx1">
                    <a:lumMod val="65000"/>
                    <a:lumOff val="35000"/>
                  </a:schemeClr>
                </a:solidFill>
                <a:latin typeface="+mn-lt"/>
                <a:ea typeface="+mn-ea"/>
                <a:cs typeface="+mn-cs"/>
              </a:defRPr>
            </a:pPr>
            <a:endParaRPr lang="ru-RU"/>
          </a:p>
        </c:txPr>
        <c:crossAx val="87961528"/>
        <c:crosses val="autoZero"/>
        <c:auto val="1"/>
        <c:lblAlgn val="ctr"/>
        <c:lblOffset val="100"/>
        <c:noMultiLvlLbl val="0"/>
      </c:catAx>
      <c:valAx>
        <c:axId val="87961528"/>
        <c:scaling>
          <c:orientation val="minMax"/>
        </c:scaling>
        <c:delete val="0"/>
        <c:axPos val="l"/>
        <c:majorGridlines>
          <c:spPr bwMode="auto">
            <a:prstGeom prst="rect">
              <a:avLst/>
            </a:prstGeom>
            <a:ln w="9525" cap="flat" cmpd="sng" algn="ctr">
              <a:solidFill>
                <a:schemeClr val="tx1">
                  <a:lumMod val="15000"/>
                  <a:lumOff val="85000"/>
                </a:schemeClr>
              </a:solidFill>
              <a:round/>
            </a:ln>
            <a:effectLst/>
          </c:spPr>
        </c:majorGridlines>
        <c:numFmt formatCode="#\ ##0\ _₽" sourceLinked="1"/>
        <c:majorTickMark val="none"/>
        <c:minorTickMark val="none"/>
        <c:tickLblPos val="nextTo"/>
        <c:spPr>
          <a:prstGeom prst="rect">
            <a:avLst/>
          </a:prstGeom>
          <a:noFill/>
          <a:ln>
            <a:noFill/>
          </a:ln>
          <a:effectLst/>
        </c:spPr>
        <c:txPr>
          <a:bodyPr rot="-60000000" spcFirstLastPara="1" vertOverflow="ellipsis" vert="horz" wrap="square" anchor="ctr" anchorCtr="1"/>
          <a:lstStyle/>
          <a:p>
            <a:pPr>
              <a:defRPr sz="900" b="0" i="0" u="none" strike="noStrike" baseline="0">
                <a:solidFill>
                  <a:schemeClr val="tx1">
                    <a:lumMod val="65000"/>
                    <a:lumOff val="35000"/>
                  </a:schemeClr>
                </a:solidFill>
                <a:latin typeface="+mn-lt"/>
                <a:ea typeface="+mn-ea"/>
                <a:cs typeface="+mn-cs"/>
              </a:defRPr>
            </a:pPr>
            <a:endParaRPr lang="ru-RU"/>
          </a:p>
        </c:txPr>
        <c:crossAx val="87961144"/>
        <c:crosses val="autoZero"/>
        <c:crossBetween val="between"/>
      </c:valAx>
      <c:spPr>
        <a:prstGeom prst="rect">
          <a:avLst/>
        </a:prstGeom>
        <a:noFill/>
        <a:ln>
          <a:noFill/>
        </a:ln>
        <a:effectLst/>
      </c:spPr>
    </c:plotArea>
    <c:legend>
      <c:legendPos val="b"/>
      <c:overlay val="0"/>
      <c:spPr>
        <a:prstGeom prst="rect">
          <a:avLst/>
        </a:prstGeom>
        <a:noFill/>
        <a:ln>
          <a:noFill/>
        </a:ln>
        <a:effectLst/>
      </c:spPr>
      <c:txPr>
        <a:bodyPr rot="0" spcFirstLastPara="1" vertOverflow="ellipsis" vert="horz" wrap="square" anchor="ctr" anchorCtr="1"/>
        <a:lstStyle/>
        <a:p>
          <a:pPr>
            <a:defRPr sz="900" b="0" i="0" u="none" strike="noStrike" baseline="0">
              <a:solidFill>
                <a:schemeClr val="tx1">
                  <a:lumMod val="65000"/>
                  <a:lumOff val="35000"/>
                </a:schemeClr>
              </a:solidFill>
              <a:latin typeface="+mn-lt"/>
              <a:ea typeface="+mn-ea"/>
              <a:cs typeface="+mn-cs"/>
            </a:defRPr>
          </a:pPr>
          <a:endParaRPr lang="ru-RU"/>
        </a:p>
      </c:txPr>
    </c:legend>
    <c:plotVisOnly val="1"/>
    <c:dispBlanksAs val="gap"/>
    <c:showDLblsOverMax val="0"/>
  </c:chart>
  <c:spPr bwMode="auto">
    <a:xfrm>
      <a:off x="0" y="0"/>
      <a:ext cx="0" cy="0"/>
    </a:xfrm>
    <a:prstGeom prst="rect">
      <a:avLst/>
    </a:prstGeom>
    <a:solidFill>
      <a:schemeClr val="bg1"/>
    </a:solidFill>
    <a:ln w="9525" cap="flat" cmpd="sng" algn="ctr">
      <a:solidFill>
        <a:schemeClr val="tx1">
          <a:lumMod val="15000"/>
          <a:lumOff val="85000"/>
        </a:schemeClr>
      </a:solidFill>
      <a:round/>
    </a:ln>
    <a:effectLst/>
  </c:spPr>
  <c:txPr>
    <a:bodyPr/>
    <a:lstStyle/>
    <a:p>
      <a:pPr>
        <a:defRPr/>
      </a:pPr>
      <a:endParaRPr lang="ru-RU"/>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cs:axisTitle>
  <cs:categoryAxis>
    <cs:lnRef idx="0"/>
    <cs:fillRef idx="0"/>
    <cs:effectRef idx="0"/>
    <cs:fontRef idx="minor">
      <a:schemeClr val="tx1">
        <a:lumMod val="65000"/>
        <a:lumOff val="35000"/>
      </a:schemeClr>
    </cs:fontRef>
    <cs:spPr bwMode="auto">
      <a:prstGeom prst="rect">
        <a:avLst/>
      </a:prstGeom>
      <a:ln w="9525" cap="flat" cmpd="sng" algn="ctr">
        <a:solidFill>
          <a:schemeClr val="tx1">
            <a:lumMod val="15000"/>
            <a:lumOff val="85000"/>
          </a:schemeClr>
        </a:solidFill>
        <a:round/>
      </a:ln>
    </cs:spPr>
    <cs:defRPr sz="900"/>
  </cs:categoryAxis>
  <cs:chartArea>
    <cs:lnRef idx="0"/>
    <cs:fillRef idx="0"/>
    <cs:effectRef idx="0"/>
    <cs:fontRef idx="minor">
      <a:schemeClr val="tx1"/>
    </cs:fontRef>
    <cs:spPr bwMode="auto">
      <a:prstGeom prst="rect">
        <a:avLst/>
      </a:prstGeom>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75000"/>
        <a:lumOff val="25000"/>
      </a:schemeClr>
    </cs:fontRef>
    <cs:defRPr sz="900"/>
  </cs:dataLabel>
  <cs:dataLabelCallout>
    <cs:lnRef idx="0"/>
    <cs:fillRef idx="0"/>
    <cs:effectRef idx="0"/>
    <cs:fontRef idx="minor">
      <a:schemeClr val="dk1">
        <a:lumMod val="65000"/>
        <a:lumOff val="35000"/>
      </a:schemeClr>
    </cs:fontRef>
    <cs:spPr bwMode="auto">
      <a:prstGeom prst="rect">
        <a:avLst/>
      </a:prstGeom>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bwMode="auto">
      <a:prstGeom prst="rect">
        <a:avLst/>
      </a:prstGeom>
      <a:ln w="28575" cap="rnd">
        <a:solidFill>
          <a:schemeClr val="phClr"/>
        </a:solidFill>
        <a:round/>
      </a:ln>
    </cs:spPr>
  </cs:dataPointLine>
  <cs:dataPointMarker>
    <cs:lnRef idx="0">
      <cs:styleClr val="auto"/>
    </cs:lnRef>
    <cs:fillRef idx="1">
      <cs:styleClr val="auto"/>
    </cs:fillRef>
    <cs:effectRef idx="0"/>
    <cs:fontRef idx="minor">
      <a:schemeClr val="tx1"/>
    </cs:fontRef>
    <cs:spPr bwMode="auto">
      <a:prstGeom prst="rect">
        <a:avLst/>
      </a:prstGeom>
      <a:ln w="9525">
        <a:solidFill>
          <a:schemeClr val="phClr"/>
        </a:solidFill>
      </a:ln>
    </cs:spPr>
  </cs:dataPointMarker>
  <cs:dataPointMarkerLayout/>
  <cs:dataPointWireframe>
    <cs:lnRef idx="0">
      <cs:styleClr val="auto"/>
    </cs:lnRef>
    <cs:fillRef idx="1"/>
    <cs:effectRef idx="0"/>
    <cs:fontRef idx="minor">
      <a:schemeClr val="tx1"/>
    </cs:fontRef>
    <cs:spPr bwMode="auto">
      <a:prstGeom prst="rect">
        <a:avLst/>
      </a:prstGeom>
      <a:ln w="9525" cap="rnd">
        <a:solidFill>
          <a:schemeClr val="phClr"/>
        </a:solidFill>
        <a:round/>
      </a:ln>
    </cs:spPr>
  </cs:dataPointWireframe>
  <cs:dataTable>
    <cs:lnRef idx="0"/>
    <cs:fillRef idx="0"/>
    <cs:effectRef idx="0"/>
    <cs:fontRef idx="minor">
      <a:schemeClr val="tx1">
        <a:lumMod val="65000"/>
        <a:lumOff val="35000"/>
      </a:schemeClr>
    </cs:fontRef>
    <cs:spPr bwMode="auto">
      <a:prstGeom prst="rect">
        <a:avLst/>
      </a:prstGeom>
      <a:noFill/>
      <a:ln w="9525" cap="flat" cmpd="sng" algn="ctr">
        <a:solidFill>
          <a:schemeClr val="tx1">
            <a:lumMod val="15000"/>
            <a:lumOff val="85000"/>
          </a:schemeClr>
        </a:solidFill>
        <a:round/>
      </a:ln>
    </cs:spPr>
    <cs:defRPr sz="900"/>
  </cs:dataTable>
  <cs:downBar>
    <cs:lnRef idx="0"/>
    <cs:fillRef idx="0"/>
    <cs:effectRef idx="0"/>
    <cs:fontRef idx="minor">
      <a:schemeClr val="dk1"/>
    </cs:fontRef>
    <cs:spPr bwMode="auto">
      <a:prstGeom prst="rect">
        <a:avLst/>
      </a:prstGeom>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bwMode="auto">
      <a:prstGeom prst="rect">
        <a:avLst/>
      </a:prstGeom>
      <a:ln w="9525" cap="flat" cmpd="sng" algn="ctr">
        <a:solidFill>
          <a:schemeClr val="tx1">
            <a:lumMod val="35000"/>
            <a:lumOff val="65000"/>
          </a:schemeClr>
        </a:solidFill>
        <a:round/>
      </a:ln>
    </cs:spPr>
  </cs:dropLine>
  <cs:errorBar>
    <cs:lnRef idx="0"/>
    <cs:fillRef idx="0"/>
    <cs:effectRef idx="0"/>
    <cs:fontRef idx="minor">
      <a:schemeClr val="tx1"/>
    </cs:fontRef>
    <cs:spPr bwMode="auto">
      <a:prstGeom prst="rect">
        <a:avLst/>
      </a:prstGeom>
      <a:ln w="9525" cap="flat" cmpd="sng" algn="ctr">
        <a:solidFill>
          <a:schemeClr val="tx1">
            <a:lumMod val="65000"/>
            <a:lumOff val="35000"/>
          </a:schemeClr>
        </a:solidFill>
        <a:round/>
      </a:ln>
    </cs:spPr>
  </cs:errorBar>
  <cs:floor>
    <cs:lnRef idx="0"/>
    <cs:fillRef idx="0"/>
    <cs:effectRef idx="0"/>
    <cs:fontRef idx="minor">
      <a:schemeClr val="tx1"/>
    </cs:fontRef>
    <cs:spPr bwMode="auto">
      <a:prstGeom prst="rect">
        <a:avLst/>
      </a:prstGeom>
      <a:noFill/>
      <a:ln>
        <a:noFill/>
      </a:ln>
    </cs:spPr>
  </cs:floor>
  <cs:gridlineMajor>
    <cs:lnRef idx="0"/>
    <cs:fillRef idx="0"/>
    <cs:effectRef idx="0"/>
    <cs:fontRef idx="minor">
      <a:schemeClr val="tx1"/>
    </cs:fontRef>
    <cs:spPr bwMode="auto">
      <a:prstGeom prst="rect">
        <a:avLst/>
      </a:prstGeom>
      <a:ln w="9525" cap="flat" cmpd="sng" algn="ctr">
        <a:solidFill>
          <a:schemeClr val="tx1">
            <a:lumMod val="15000"/>
            <a:lumOff val="85000"/>
          </a:schemeClr>
        </a:solidFill>
        <a:round/>
      </a:ln>
    </cs:spPr>
  </cs:gridlineMajor>
  <cs:gridlineMinor>
    <cs:lnRef idx="0"/>
    <cs:fillRef idx="0"/>
    <cs:effectRef idx="0"/>
    <cs:fontRef idx="minor">
      <a:schemeClr val="tx1"/>
    </cs:fontRef>
    <cs:spPr bwMode="auto">
      <a:prstGeom prst="rect">
        <a:avLst/>
      </a:prstGeom>
      <a:ln w="9525" cap="flat" cmpd="sng" algn="ctr">
        <a:solidFill>
          <a:schemeClr val="tx1">
            <a:lumMod val="5000"/>
            <a:lumOff val="95000"/>
          </a:schemeClr>
        </a:solidFill>
        <a:round/>
      </a:ln>
    </cs:spPr>
  </cs:gridlineMinor>
  <cs:hiLoLine>
    <cs:lnRef idx="0"/>
    <cs:fillRef idx="0"/>
    <cs:effectRef idx="0"/>
    <cs:fontRef idx="minor">
      <a:schemeClr val="tx1"/>
    </cs:fontRef>
    <cs:spPr bwMode="auto">
      <a:prstGeom prst="rect">
        <a:avLst/>
      </a:prstGeom>
      <a:ln w="9525" cap="flat" cmpd="sng" algn="ctr">
        <a:solidFill>
          <a:schemeClr val="tx1">
            <a:lumMod val="75000"/>
            <a:lumOff val="25000"/>
          </a:schemeClr>
        </a:solidFill>
        <a:round/>
      </a:ln>
    </cs:spPr>
  </cs:hiLoLine>
  <cs:leaderLine>
    <cs:lnRef idx="0"/>
    <cs:fillRef idx="0"/>
    <cs:effectRef idx="0"/>
    <cs:fontRef idx="minor">
      <a:schemeClr val="tx1"/>
    </cs:fontRef>
    <cs:spPr bwMode="auto">
      <a:prstGeom prst="rect">
        <a:avLst/>
      </a:prstGeom>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tx1">
        <a:lumMod val="65000"/>
        <a:lumOff val="35000"/>
      </a:schemeClr>
    </cs:fontRef>
    <cs:defRPr sz="900"/>
  </cs:seriesAxis>
  <cs:seriesLine>
    <cs:lnRef idx="0"/>
    <cs:fillRef idx="0"/>
    <cs:effectRef idx="0"/>
    <cs:fontRef idx="minor">
      <a:schemeClr val="tx1"/>
    </cs:fontRef>
    <cs:spPr bwMode="auto">
      <a:prstGeom prst="rect">
        <a:avLst/>
      </a:prstGeom>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spc="0"/>
  </cs:title>
  <cs:trendline>
    <cs:lnRef idx="0">
      <cs:styleClr val="auto"/>
    </cs:lnRef>
    <cs:fillRef idx="0"/>
    <cs:effectRef idx="0"/>
    <cs:fontRef idx="minor">
      <a:schemeClr val="tx1"/>
    </cs:fontRef>
    <cs:spPr bwMode="auto">
      <a:prstGeom prst="rect">
        <a:avLst/>
      </a:prstGeom>
      <a:ln w="19050" cap="rnd">
        <a:solidFill>
          <a:schemeClr val="phClr"/>
        </a:solidFill>
        <a:prstDash val="sysDot"/>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bwMode="auto">
      <a:prstGeom prst="rect">
        <a:avLst/>
      </a:prstGeom>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spPr bwMode="auto">
      <a:prstGeom prst="rect">
        <a:avLst/>
      </a:prstGeom>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292683" cy="6102195"/>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123" workbookViewId="0"/>
  </sheetViews>
  <sheetFormatPr defaultRowHeight="14.4" x14ac:dyDescent="0.3"/>
  <sheetData/>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N149"/>
  <sheetViews>
    <sheetView tabSelected="1" view="pageBreakPreview" topLeftCell="A77" zoomScale="90" workbookViewId="0">
      <selection activeCell="A115" sqref="A115"/>
    </sheetView>
  </sheetViews>
  <sheetFormatPr defaultColWidth="9.109375" defaultRowHeight="15.6" x14ac:dyDescent="0.3"/>
  <cols>
    <col min="1" max="1" width="67" style="1" customWidth="1"/>
    <col min="2" max="2" width="11.33203125" style="1" hidden="1" customWidth="1"/>
    <col min="3" max="3" width="10.109375" style="2" hidden="1" customWidth="1"/>
    <col min="4" max="4" width="10.5546875" style="3" hidden="1" customWidth="1"/>
    <col min="5" max="5" width="11.33203125" style="2" hidden="1" customWidth="1"/>
    <col min="6" max="6" width="9.109375" style="4" hidden="1" customWidth="1"/>
    <col min="7" max="7" width="10.109375" style="2" hidden="1" customWidth="1"/>
    <col min="8" max="8" width="9.109375" style="4" hidden="1" customWidth="1"/>
    <col min="9" max="9" width="10.109375" style="2" hidden="1" customWidth="1"/>
    <col min="10" max="10" width="9.109375" style="4" hidden="1" customWidth="1"/>
    <col min="11" max="11" width="10.109375" style="2" hidden="1" customWidth="1"/>
    <col min="12" max="12" width="9.109375" style="4" hidden="1" customWidth="1"/>
    <col min="13" max="13" width="10.109375" style="2" hidden="1" customWidth="1"/>
    <col min="14" max="14" width="9.109375" style="4" hidden="1" customWidth="1"/>
    <col min="15" max="15" width="10.109375" style="2" hidden="1" customWidth="1"/>
    <col min="16" max="16" width="9.109375" style="4" hidden="1" customWidth="1"/>
    <col min="17" max="17" width="11.5546875" style="2" hidden="1" customWidth="1"/>
    <col min="18" max="18" width="9.109375" style="4" hidden="1" customWidth="1"/>
    <col min="19" max="19" width="12.5546875" style="2" hidden="1" customWidth="1"/>
    <col min="20" max="20" width="10.88671875" style="5" hidden="1" customWidth="1"/>
    <col min="21" max="21" width="12.5546875" style="2" hidden="1" customWidth="1"/>
    <col min="22" max="22" width="9.109375" style="6" hidden="1" customWidth="1"/>
    <col min="23" max="23" width="10.109375" style="2" hidden="1" customWidth="1"/>
    <col min="24" max="24" width="9.109375" style="6" hidden="1" customWidth="1"/>
    <col min="25" max="25" width="10.109375" style="2" hidden="1" customWidth="1"/>
    <col min="26" max="26" width="9.109375" style="4" hidden="1" customWidth="1"/>
    <col min="27" max="27" width="10.109375" style="2" hidden="1" customWidth="1"/>
    <col min="28" max="28" width="9.109375" style="4" hidden="1" customWidth="1"/>
    <col min="29" max="29" width="10.109375" style="2" hidden="1" customWidth="1"/>
    <col min="30" max="30" width="9.109375" style="7" hidden="1" customWidth="1"/>
    <col min="31" max="31" width="10.109375" style="2" hidden="1" customWidth="1"/>
    <col min="32" max="32" width="9.109375" style="4" hidden="1" customWidth="1"/>
    <col min="33" max="33" width="10.109375" style="2" hidden="1" customWidth="1"/>
    <col min="34" max="34" width="9.5546875" style="4" hidden="1" customWidth="1"/>
    <col min="35" max="35" width="10.109375" style="2" hidden="1" customWidth="1"/>
    <col min="36" max="36" width="11.109375" style="4" hidden="1" customWidth="1"/>
    <col min="37" max="37" width="11.44140625" style="2" hidden="1" customWidth="1"/>
    <col min="38" max="38" width="9.109375" style="4" hidden="1" customWidth="1"/>
    <col min="39" max="39" width="10.109375" style="2" hidden="1" customWidth="1"/>
    <col min="40" max="40" width="9.109375" style="4" hidden="1" customWidth="1"/>
    <col min="41" max="41" width="10.109375" style="2" hidden="1" customWidth="1"/>
    <col min="42" max="42" width="9.6640625" style="4" hidden="1" customWidth="1"/>
    <col min="43" max="43" width="11.5546875" style="2" hidden="1" customWidth="1"/>
    <col min="44" max="44" width="9.6640625" style="4" hidden="1" customWidth="1"/>
    <col min="45" max="45" width="11.109375" style="2" hidden="1" customWidth="1"/>
    <col min="46" max="46" width="9.6640625" style="4" hidden="1" customWidth="1"/>
    <col min="47" max="47" width="11.88671875" style="2" hidden="1" customWidth="1"/>
    <col min="48" max="48" width="9.6640625" style="5" hidden="1" customWidth="1"/>
    <col min="49" max="49" width="10.109375" style="2" hidden="1" customWidth="1"/>
    <col min="50" max="50" width="9.6640625" style="4" hidden="1" customWidth="1"/>
    <col min="51" max="51" width="10.5546875" style="2" hidden="1" customWidth="1"/>
    <col min="52" max="52" width="9.6640625" style="4" hidden="1" customWidth="1"/>
    <col min="53" max="53" width="10.88671875" style="2" hidden="1" customWidth="1"/>
    <col min="54" max="54" width="9.6640625" style="4" hidden="1" customWidth="1"/>
    <col min="55" max="55" width="11.44140625" style="2" hidden="1" customWidth="1"/>
    <col min="56" max="56" width="9.6640625" style="4" hidden="1" customWidth="1"/>
    <col min="57" max="57" width="12.5546875" style="2" hidden="1" customWidth="1"/>
    <col min="58" max="58" width="8.5546875" style="4" hidden="1" customWidth="1"/>
    <col min="59" max="59" width="11.88671875" style="2" hidden="1" customWidth="1"/>
    <col min="60" max="60" width="9.109375" style="4" hidden="1" customWidth="1"/>
    <col min="61" max="61" width="11" style="2" hidden="1" customWidth="1"/>
    <col min="62" max="62" width="9.109375" style="4" hidden="1" customWidth="1"/>
    <col min="63" max="63" width="10.109375" style="2" hidden="1" customWidth="1"/>
    <col min="64" max="64" width="9.109375" style="4" hidden="1" customWidth="1"/>
    <col min="65" max="65" width="10.109375" style="2" hidden="1" customWidth="1"/>
    <col min="66" max="66" width="9.109375" style="5" hidden="1" customWidth="1"/>
    <col min="67" max="67" width="10.109375" style="2" hidden="1" customWidth="1"/>
    <col min="68" max="68" width="9.109375" style="8" hidden="1" customWidth="1"/>
    <col min="69" max="69" width="13" style="2" hidden="1" customWidth="1"/>
    <col min="70" max="70" width="9.109375" style="1" hidden="1" customWidth="1"/>
    <col min="71" max="71" width="11.5546875" style="1" hidden="1" customWidth="1"/>
    <col min="72" max="72" width="9.109375" style="4" hidden="1" customWidth="1"/>
    <col min="73" max="73" width="12.44140625" style="2" hidden="1" customWidth="1"/>
    <col min="74" max="74" width="9.109375" style="4" hidden="1" customWidth="1"/>
    <col min="75" max="75" width="12.109375" style="2" hidden="1" customWidth="1"/>
    <col min="76" max="76" width="9.109375" style="7" hidden="1" customWidth="1"/>
    <col min="77" max="77" width="11.109375" style="2" hidden="1" customWidth="1"/>
    <col min="78" max="78" width="9.109375" style="4" hidden="1" customWidth="1"/>
    <col min="79" max="79" width="10.109375" style="2" hidden="1" customWidth="1"/>
    <col min="80" max="80" width="9.109375" style="4" hidden="1" customWidth="1"/>
    <col min="81" max="81" width="10.109375" style="2" hidden="1" customWidth="1"/>
    <col min="82" max="82" width="9.109375" style="1" hidden="1" customWidth="1"/>
    <col min="83" max="83" width="10.109375" style="2" hidden="1" customWidth="1"/>
    <col min="84" max="84" width="9.109375" style="4" hidden="1" customWidth="1"/>
    <col min="85" max="85" width="10.109375" style="2" hidden="1" customWidth="1"/>
    <col min="86" max="86" width="10.44140625" style="4" hidden="1" customWidth="1"/>
    <col min="87" max="87" width="10.6640625" style="2" hidden="1" customWidth="1"/>
    <col min="88" max="88" width="9.109375" style="4" hidden="1" customWidth="1"/>
    <col min="89" max="89" width="10.109375" style="2" hidden="1" customWidth="1"/>
    <col min="90" max="90" width="9.109375" style="7" hidden="1" customWidth="1"/>
    <col min="91" max="91" width="10.109375" style="2" hidden="1" customWidth="1"/>
    <col min="92" max="92" width="9.109375" style="2" hidden="1" customWidth="1"/>
    <col min="93" max="93" width="10.109375" style="2" hidden="1" customWidth="1"/>
    <col min="94" max="94" width="9.109375" style="7" hidden="1" customWidth="1"/>
    <col min="95" max="95" width="10.109375" style="2" hidden="1" customWidth="1"/>
    <col min="96" max="96" width="9.109375" style="4" hidden="1" customWidth="1"/>
    <col min="97" max="97" width="11.33203125" style="2" hidden="1" customWidth="1"/>
    <col min="98" max="98" width="9.109375" style="4" hidden="1" customWidth="1"/>
    <col min="99" max="99" width="11.44140625" style="2" hidden="1" customWidth="1"/>
    <col min="100" max="100" width="9.109375" style="4" hidden="1" customWidth="1"/>
    <col min="101" max="101" width="10.109375" style="2" hidden="1" customWidth="1"/>
    <col min="102" max="102" width="10.6640625" style="7" hidden="1" customWidth="1"/>
    <col min="103" max="103" width="12.44140625" style="2" hidden="1" customWidth="1"/>
    <col min="104" max="104" width="10.44140625" style="1" hidden="1" customWidth="1"/>
    <col min="105" max="105" width="11.109375" style="2" hidden="1" customWidth="1"/>
    <col min="106" max="106" width="11" style="1" hidden="1" customWidth="1"/>
    <col min="107" max="107" width="10.88671875" style="2" hidden="1" customWidth="1"/>
    <col min="108" max="108" width="11" style="1" hidden="1" customWidth="1"/>
    <col min="109" max="109" width="10.88671875" style="2" hidden="1" customWidth="1"/>
    <col min="110" max="110" width="10.88671875" style="2" customWidth="1"/>
    <col min="111" max="111" width="11" style="2" customWidth="1"/>
    <col min="112" max="112" width="20.44140625" style="4" customWidth="1"/>
    <col min="113" max="113" width="20.6640625" style="2" customWidth="1"/>
    <col min="114" max="114" width="19.33203125" style="7" customWidth="1"/>
    <col min="115" max="115" width="16.33203125" style="2" customWidth="1"/>
    <col min="116" max="116" width="9.109375" style="1" hidden="1" customWidth="1"/>
    <col min="117" max="117" width="12" style="1" hidden="1" customWidth="1"/>
    <col min="118" max="118" width="1.88671875" style="1" hidden="1" customWidth="1"/>
    <col min="119" max="16384" width="9.109375" style="1"/>
  </cols>
  <sheetData>
    <row r="1" spans="1:115" ht="15.75" customHeight="1" x14ac:dyDescent="0.3">
      <c r="A1" s="431" t="s">
        <v>0</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c r="AI1" s="431"/>
      <c r="AJ1" s="431"/>
      <c r="AK1" s="431"/>
      <c r="AL1" s="431"/>
      <c r="AM1" s="431"/>
      <c r="AN1" s="431"/>
      <c r="AO1" s="431"/>
      <c r="AP1" s="431"/>
      <c r="AQ1" s="431"/>
      <c r="AR1" s="431"/>
      <c r="AS1" s="431"/>
      <c r="AT1" s="431"/>
      <c r="AU1" s="431"/>
      <c r="AV1" s="431"/>
      <c r="AW1" s="431"/>
      <c r="AX1" s="431"/>
      <c r="AY1" s="431"/>
      <c r="AZ1" s="431"/>
      <c r="BA1" s="431"/>
      <c r="BB1" s="431"/>
      <c r="BC1" s="431"/>
      <c r="BD1" s="431"/>
      <c r="BE1" s="431"/>
      <c r="BF1" s="431"/>
      <c r="BG1" s="431"/>
      <c r="BH1" s="431"/>
      <c r="BI1" s="431"/>
      <c r="BJ1" s="431"/>
      <c r="BK1" s="431"/>
      <c r="BL1" s="431"/>
      <c r="BM1" s="431"/>
      <c r="BN1" s="431"/>
      <c r="BO1" s="431"/>
      <c r="BP1" s="431"/>
      <c r="BQ1" s="431"/>
      <c r="BR1" s="431"/>
      <c r="BS1" s="431"/>
      <c r="BT1" s="431"/>
      <c r="BU1" s="431"/>
      <c r="BV1" s="431"/>
      <c r="BW1" s="431"/>
      <c r="BX1" s="431"/>
      <c r="BY1" s="431"/>
      <c r="BZ1" s="431"/>
      <c r="CA1" s="431"/>
      <c r="CB1" s="431"/>
      <c r="CC1" s="431"/>
      <c r="CD1" s="431"/>
      <c r="CE1" s="431"/>
      <c r="CF1" s="431"/>
      <c r="CG1" s="431"/>
      <c r="CH1" s="431"/>
      <c r="CI1" s="431"/>
      <c r="CJ1" s="431"/>
      <c r="CK1" s="431"/>
      <c r="CL1" s="431"/>
      <c r="CM1" s="431"/>
      <c r="CN1" s="431"/>
      <c r="CO1" s="431"/>
      <c r="CP1" s="431"/>
      <c r="CQ1" s="431"/>
      <c r="CR1" s="431"/>
      <c r="CS1" s="431"/>
      <c r="CT1" s="431"/>
      <c r="CU1" s="431"/>
      <c r="CV1" s="431"/>
      <c r="CW1" s="431"/>
      <c r="CX1" s="431"/>
      <c r="CY1" s="431"/>
      <c r="CZ1" s="431"/>
      <c r="DA1" s="431"/>
      <c r="DB1" s="431"/>
      <c r="DC1" s="431"/>
      <c r="DD1" s="431"/>
      <c r="DE1" s="431"/>
      <c r="DF1" s="431"/>
      <c r="DG1" s="431"/>
      <c r="DH1" s="431"/>
      <c r="DI1" s="431"/>
      <c r="DJ1" s="431"/>
      <c r="DK1" s="431"/>
    </row>
    <row r="2" spans="1:115" ht="17.399999999999999" x14ac:dyDescent="0.3">
      <c r="A2" s="431" t="s">
        <v>1</v>
      </c>
      <c r="B2" s="431"/>
      <c r="C2" s="431"/>
      <c r="D2" s="431"/>
      <c r="E2" s="431"/>
      <c r="F2" s="431"/>
      <c r="G2" s="431"/>
      <c r="H2" s="431"/>
      <c r="I2" s="431"/>
      <c r="J2" s="431"/>
      <c r="K2" s="431"/>
      <c r="L2" s="431"/>
      <c r="M2" s="431"/>
      <c r="N2" s="431"/>
      <c r="O2" s="431"/>
      <c r="P2" s="431"/>
      <c r="Q2" s="431"/>
      <c r="R2" s="431"/>
      <c r="S2" s="431"/>
      <c r="T2" s="431"/>
      <c r="U2" s="431"/>
      <c r="V2" s="431"/>
      <c r="W2" s="431"/>
      <c r="X2" s="431"/>
      <c r="Y2" s="431"/>
      <c r="Z2" s="431"/>
      <c r="AA2" s="431"/>
      <c r="AB2" s="431"/>
      <c r="AC2" s="431"/>
      <c r="AD2" s="431"/>
      <c r="AE2" s="431"/>
      <c r="AF2" s="431"/>
      <c r="AG2" s="431"/>
      <c r="AH2" s="431"/>
      <c r="AI2" s="431"/>
      <c r="AJ2" s="431"/>
      <c r="AK2" s="431"/>
      <c r="AL2" s="431"/>
      <c r="AM2" s="431"/>
      <c r="AN2" s="431"/>
      <c r="AO2" s="431"/>
      <c r="AP2" s="431"/>
      <c r="AQ2" s="431"/>
      <c r="AR2" s="431"/>
      <c r="AS2" s="431"/>
      <c r="AT2" s="431"/>
      <c r="AU2" s="431"/>
      <c r="AV2" s="431"/>
      <c r="AW2" s="431"/>
      <c r="AX2" s="431"/>
      <c r="AY2" s="431"/>
      <c r="AZ2" s="431"/>
      <c r="BA2" s="431"/>
      <c r="BB2" s="431"/>
      <c r="BC2" s="431"/>
      <c r="BD2" s="431"/>
      <c r="BE2" s="431"/>
      <c r="BF2" s="431"/>
      <c r="BG2" s="431"/>
      <c r="BH2" s="431"/>
      <c r="BI2" s="431"/>
      <c r="BJ2" s="431"/>
      <c r="BK2" s="431"/>
      <c r="BL2" s="431"/>
      <c r="BM2" s="431"/>
      <c r="BN2" s="431"/>
      <c r="BO2" s="431"/>
      <c r="BP2" s="431"/>
      <c r="BQ2" s="431"/>
      <c r="BR2" s="431"/>
      <c r="BS2" s="431"/>
      <c r="BT2" s="431"/>
      <c r="BU2" s="431"/>
      <c r="BV2" s="431"/>
      <c r="BW2" s="431"/>
      <c r="BX2" s="431"/>
      <c r="BY2" s="431"/>
      <c r="BZ2" s="431"/>
      <c r="CA2" s="431"/>
      <c r="CB2" s="431"/>
      <c r="CC2" s="431"/>
      <c r="CD2" s="431"/>
      <c r="CE2" s="431"/>
      <c r="CF2" s="431"/>
      <c r="CG2" s="431"/>
      <c r="CH2" s="431"/>
      <c r="CI2" s="431"/>
      <c r="CJ2" s="431"/>
      <c r="CK2" s="431"/>
      <c r="CL2" s="431"/>
      <c r="CM2" s="431"/>
      <c r="CN2" s="431"/>
      <c r="CO2" s="431"/>
      <c r="CP2" s="431"/>
      <c r="CQ2" s="431"/>
      <c r="CR2" s="431"/>
      <c r="CS2" s="431"/>
      <c r="CT2" s="431"/>
      <c r="CU2" s="431"/>
      <c r="CV2" s="431"/>
      <c r="CW2" s="431"/>
      <c r="CX2" s="431"/>
      <c r="CY2" s="431"/>
      <c r="CZ2" s="431"/>
      <c r="DA2" s="431"/>
      <c r="DB2" s="431"/>
      <c r="DC2" s="431"/>
      <c r="DD2" s="431"/>
      <c r="DE2" s="431"/>
      <c r="DF2" s="431"/>
      <c r="DG2" s="431"/>
      <c r="DH2" s="431"/>
      <c r="DI2" s="431"/>
      <c r="DJ2" s="431"/>
      <c r="DK2" s="431"/>
    </row>
    <row r="3" spans="1:115" ht="32.25" customHeight="1" x14ac:dyDescent="0.3">
      <c r="A3" s="9" t="s">
        <v>2</v>
      </c>
      <c r="B3" s="10" t="s">
        <v>3</v>
      </c>
      <c r="C3" s="10" t="s">
        <v>4</v>
      </c>
      <c r="D3" s="10" t="s">
        <v>3</v>
      </c>
      <c r="E3" s="10" t="s">
        <v>4</v>
      </c>
      <c r="F3" s="10" t="s">
        <v>3</v>
      </c>
      <c r="G3" s="10" t="s">
        <v>4</v>
      </c>
      <c r="H3" s="10" t="s">
        <v>3</v>
      </c>
      <c r="I3" s="10" t="s">
        <v>4</v>
      </c>
      <c r="J3" s="10" t="s">
        <v>3</v>
      </c>
      <c r="K3" s="10" t="s">
        <v>4</v>
      </c>
      <c r="L3" s="10" t="s">
        <v>3</v>
      </c>
      <c r="M3" s="10" t="s">
        <v>4</v>
      </c>
      <c r="N3" s="10" t="s">
        <v>3</v>
      </c>
      <c r="O3" s="10" t="s">
        <v>4</v>
      </c>
      <c r="P3" s="10" t="s">
        <v>3</v>
      </c>
      <c r="Q3" s="10" t="s">
        <v>4</v>
      </c>
      <c r="R3" s="10" t="s">
        <v>3</v>
      </c>
      <c r="S3" s="10" t="s">
        <v>4</v>
      </c>
      <c r="T3" s="10" t="s">
        <v>3</v>
      </c>
      <c r="U3" s="10" t="s">
        <v>4</v>
      </c>
      <c r="V3" s="10" t="s">
        <v>3</v>
      </c>
      <c r="W3" s="10" t="s">
        <v>4</v>
      </c>
      <c r="X3" s="10" t="s">
        <v>3</v>
      </c>
      <c r="Y3" s="10" t="s">
        <v>4</v>
      </c>
      <c r="Z3" s="10" t="s">
        <v>3</v>
      </c>
      <c r="AA3" s="10" t="s">
        <v>4</v>
      </c>
      <c r="AB3" s="10" t="s">
        <v>3</v>
      </c>
      <c r="AC3" s="10" t="s">
        <v>4</v>
      </c>
      <c r="AD3" s="10" t="s">
        <v>3</v>
      </c>
      <c r="AE3" s="10" t="s">
        <v>4</v>
      </c>
      <c r="AF3" s="10" t="s">
        <v>3</v>
      </c>
      <c r="AG3" s="10" t="s">
        <v>4</v>
      </c>
      <c r="AH3" s="10" t="s">
        <v>3</v>
      </c>
      <c r="AI3" s="10" t="s">
        <v>4</v>
      </c>
      <c r="AJ3" s="10" t="s">
        <v>3</v>
      </c>
      <c r="AK3" s="10" t="s">
        <v>4</v>
      </c>
      <c r="AL3" s="10" t="s">
        <v>3</v>
      </c>
      <c r="AM3" s="10" t="s">
        <v>4</v>
      </c>
      <c r="AN3" s="10" t="s">
        <v>3</v>
      </c>
      <c r="AO3" s="10" t="s">
        <v>4</v>
      </c>
      <c r="AP3" s="10" t="s">
        <v>3</v>
      </c>
      <c r="AQ3" s="10" t="s">
        <v>4</v>
      </c>
      <c r="AR3" s="10" t="s">
        <v>3</v>
      </c>
      <c r="AS3" s="10" t="s">
        <v>4</v>
      </c>
      <c r="AT3" s="10" t="s">
        <v>3</v>
      </c>
      <c r="AU3" s="10" t="s">
        <v>4</v>
      </c>
      <c r="AV3" s="10" t="s">
        <v>3</v>
      </c>
      <c r="AW3" s="10" t="s">
        <v>4</v>
      </c>
      <c r="AX3" s="10" t="s">
        <v>3</v>
      </c>
      <c r="AY3" s="10" t="s">
        <v>4</v>
      </c>
      <c r="AZ3" s="10" t="s">
        <v>3</v>
      </c>
      <c r="BA3" s="10" t="s">
        <v>4</v>
      </c>
      <c r="BB3" s="10" t="s">
        <v>3</v>
      </c>
      <c r="BC3" s="10" t="s">
        <v>4</v>
      </c>
      <c r="BD3" s="10" t="s">
        <v>3</v>
      </c>
      <c r="BE3" s="10" t="s">
        <v>4</v>
      </c>
      <c r="BF3" s="10" t="s">
        <v>3</v>
      </c>
      <c r="BG3" s="10" t="s">
        <v>4</v>
      </c>
      <c r="BH3" s="10" t="s">
        <v>3</v>
      </c>
      <c r="BI3" s="10" t="s">
        <v>4</v>
      </c>
      <c r="BJ3" s="10" t="s">
        <v>3</v>
      </c>
      <c r="BK3" s="10" t="s">
        <v>4</v>
      </c>
      <c r="BL3" s="10" t="s">
        <v>3</v>
      </c>
      <c r="BM3" s="10" t="s">
        <v>4</v>
      </c>
      <c r="BN3" s="10" t="s">
        <v>3</v>
      </c>
      <c r="BO3" s="10" t="s">
        <v>4</v>
      </c>
      <c r="BP3" s="10" t="s">
        <v>3</v>
      </c>
      <c r="BQ3" s="10" t="s">
        <v>4</v>
      </c>
      <c r="BR3" s="10" t="s">
        <v>3</v>
      </c>
      <c r="BS3" s="10" t="s">
        <v>4</v>
      </c>
      <c r="BT3" s="10" t="s">
        <v>3</v>
      </c>
      <c r="BU3" s="10" t="s">
        <v>4</v>
      </c>
      <c r="BV3" s="10" t="s">
        <v>3</v>
      </c>
      <c r="BW3" s="10" t="s">
        <v>4</v>
      </c>
      <c r="BX3" s="10" t="s">
        <v>3</v>
      </c>
      <c r="BY3" s="10" t="s">
        <v>4</v>
      </c>
      <c r="BZ3" s="10" t="s">
        <v>3</v>
      </c>
      <c r="CA3" s="10" t="s">
        <v>4</v>
      </c>
      <c r="CB3" s="10" t="s">
        <v>3</v>
      </c>
      <c r="CC3" s="10" t="s">
        <v>4</v>
      </c>
      <c r="CD3" s="10" t="s">
        <v>3</v>
      </c>
      <c r="CE3" s="10" t="s">
        <v>4</v>
      </c>
      <c r="CF3" s="10" t="s">
        <v>3</v>
      </c>
      <c r="CG3" s="10" t="s">
        <v>4</v>
      </c>
      <c r="CH3" s="10" t="s">
        <v>3</v>
      </c>
      <c r="CI3" s="10" t="s">
        <v>4</v>
      </c>
      <c r="CJ3" s="10" t="s">
        <v>3</v>
      </c>
      <c r="CK3" s="10" t="s">
        <v>4</v>
      </c>
      <c r="CL3" s="10" t="s">
        <v>3</v>
      </c>
      <c r="CM3" s="10" t="s">
        <v>4</v>
      </c>
      <c r="CN3" s="10" t="s">
        <v>3</v>
      </c>
      <c r="CO3" s="10" t="s">
        <v>4</v>
      </c>
      <c r="CP3" s="10" t="s">
        <v>3</v>
      </c>
      <c r="CQ3" s="10" t="s">
        <v>4</v>
      </c>
      <c r="CR3" s="10" t="s">
        <v>3</v>
      </c>
      <c r="CS3" s="10" t="s">
        <v>4</v>
      </c>
      <c r="CT3" s="10" t="s">
        <v>3</v>
      </c>
      <c r="CU3" s="10" t="s">
        <v>4</v>
      </c>
      <c r="CV3" s="10" t="s">
        <v>3</v>
      </c>
      <c r="CW3" s="10" t="s">
        <v>4</v>
      </c>
      <c r="CX3" s="10" t="s">
        <v>3</v>
      </c>
      <c r="CY3" s="10" t="s">
        <v>4</v>
      </c>
      <c r="CZ3" s="10" t="s">
        <v>3</v>
      </c>
      <c r="DA3" s="10" t="s">
        <v>4</v>
      </c>
      <c r="DB3" s="10" t="s">
        <v>3</v>
      </c>
      <c r="DC3" s="10" t="s">
        <v>4</v>
      </c>
      <c r="DD3" s="10" t="s">
        <v>3</v>
      </c>
      <c r="DE3" s="10" t="s">
        <v>4</v>
      </c>
      <c r="DF3" s="10" t="s">
        <v>3</v>
      </c>
      <c r="DG3" s="10" t="s">
        <v>4</v>
      </c>
      <c r="DH3" s="10" t="s">
        <v>3</v>
      </c>
      <c r="DI3" s="10" t="s">
        <v>4</v>
      </c>
      <c r="DJ3" s="10" t="s">
        <v>5</v>
      </c>
      <c r="DK3" s="10" t="s">
        <v>5</v>
      </c>
    </row>
    <row r="4" spans="1:115" ht="22.5" customHeight="1" x14ac:dyDescent="0.3">
      <c r="A4" s="11" t="s">
        <v>6</v>
      </c>
      <c r="B4" s="12">
        <v>623</v>
      </c>
      <c r="C4" s="12"/>
      <c r="D4" s="12">
        <v>623</v>
      </c>
      <c r="E4" s="12"/>
      <c r="F4" s="12">
        <v>623</v>
      </c>
      <c r="G4" s="12"/>
      <c r="H4" s="12">
        <v>623</v>
      </c>
      <c r="I4" s="12"/>
      <c r="J4" s="12">
        <v>623</v>
      </c>
      <c r="K4" s="12"/>
      <c r="L4" s="12">
        <v>623</v>
      </c>
      <c r="M4" s="12"/>
      <c r="N4" s="12">
        <v>623</v>
      </c>
      <c r="O4" s="12"/>
      <c r="P4" s="12">
        <v>623</v>
      </c>
      <c r="Q4" s="12"/>
      <c r="R4" s="12">
        <v>623</v>
      </c>
      <c r="S4" s="12"/>
      <c r="T4" s="12">
        <v>623</v>
      </c>
      <c r="U4" s="12"/>
      <c r="V4" s="12">
        <v>623</v>
      </c>
      <c r="W4" s="12"/>
      <c r="X4" s="12">
        <v>623</v>
      </c>
      <c r="Y4" s="12"/>
      <c r="Z4" s="12">
        <v>623</v>
      </c>
      <c r="AA4" s="12"/>
      <c r="AB4" s="12">
        <v>623</v>
      </c>
      <c r="AC4" s="12"/>
      <c r="AD4" s="12">
        <v>623</v>
      </c>
      <c r="AE4" s="12"/>
      <c r="AF4" s="12">
        <v>623</v>
      </c>
      <c r="AG4" s="12"/>
      <c r="AH4" s="12">
        <v>623</v>
      </c>
      <c r="AI4" s="12"/>
      <c r="AJ4" s="12">
        <v>623</v>
      </c>
      <c r="AK4" s="12"/>
      <c r="AL4" s="12">
        <v>623</v>
      </c>
      <c r="AM4" s="12"/>
      <c r="AN4" s="12">
        <v>623</v>
      </c>
      <c r="AO4" s="12"/>
      <c r="AP4" s="12">
        <v>623</v>
      </c>
      <c r="AQ4" s="12"/>
      <c r="AR4" s="12">
        <v>623</v>
      </c>
      <c r="AS4" s="12"/>
      <c r="AT4" s="12">
        <v>623</v>
      </c>
      <c r="AU4" s="12"/>
      <c r="AV4" s="12">
        <v>623</v>
      </c>
      <c r="AW4" s="12"/>
      <c r="AX4" s="12">
        <v>623</v>
      </c>
      <c r="AY4" s="12"/>
      <c r="AZ4" s="12">
        <v>623</v>
      </c>
      <c r="BA4" s="12"/>
      <c r="BB4" s="12">
        <v>623</v>
      </c>
      <c r="BC4" s="12"/>
      <c r="BD4" s="12">
        <v>623</v>
      </c>
      <c r="BE4" s="12"/>
      <c r="BF4" s="12">
        <v>623</v>
      </c>
      <c r="BG4" s="12"/>
      <c r="BH4" s="12">
        <v>623</v>
      </c>
      <c r="BI4" s="12"/>
      <c r="BJ4" s="12">
        <v>623</v>
      </c>
      <c r="BK4" s="12"/>
      <c r="BL4" s="12">
        <v>623</v>
      </c>
      <c r="BM4" s="12"/>
      <c r="BN4" s="12">
        <v>623</v>
      </c>
      <c r="BO4" s="12"/>
      <c r="BP4" s="12">
        <v>623</v>
      </c>
      <c r="BQ4" s="12"/>
      <c r="BR4" s="12">
        <v>623</v>
      </c>
      <c r="BS4" s="12"/>
      <c r="BT4" s="12">
        <v>623</v>
      </c>
      <c r="BU4" s="12"/>
      <c r="BV4" s="12">
        <v>623</v>
      </c>
      <c r="BW4" s="12"/>
      <c r="BX4" s="12">
        <v>623</v>
      </c>
      <c r="BY4" s="12"/>
      <c r="BZ4" s="12">
        <v>623</v>
      </c>
      <c r="CA4" s="12"/>
      <c r="CB4" s="12">
        <v>623</v>
      </c>
      <c r="CC4" s="12"/>
      <c r="CD4" s="12">
        <v>623</v>
      </c>
      <c r="CE4" s="12"/>
      <c r="CF4" s="12">
        <v>623</v>
      </c>
      <c r="CG4" s="12"/>
      <c r="CH4" s="12">
        <v>623</v>
      </c>
      <c r="CI4" s="12"/>
      <c r="CJ4" s="12">
        <v>623</v>
      </c>
      <c r="CK4" s="12"/>
      <c r="CL4" s="12">
        <v>623</v>
      </c>
      <c r="CM4" s="12"/>
      <c r="CN4" s="12">
        <v>623</v>
      </c>
      <c r="CO4" s="12"/>
      <c r="CP4" s="12">
        <v>623</v>
      </c>
      <c r="CQ4" s="12"/>
      <c r="CR4" s="12">
        <v>623</v>
      </c>
      <c r="CS4" s="12"/>
      <c r="CT4" s="12">
        <v>623</v>
      </c>
      <c r="CU4" s="12"/>
      <c r="CV4" s="12">
        <v>623</v>
      </c>
      <c r="CW4" s="12"/>
      <c r="CX4" s="12">
        <v>623</v>
      </c>
      <c r="CY4" s="12"/>
      <c r="CZ4" s="12">
        <v>623</v>
      </c>
      <c r="DA4" s="12"/>
      <c r="DB4" s="12">
        <v>623</v>
      </c>
      <c r="DC4" s="12"/>
      <c r="DD4" s="12">
        <v>623</v>
      </c>
      <c r="DE4" s="12"/>
      <c r="DF4" s="12">
        <v>623</v>
      </c>
      <c r="DG4" s="12">
        <f>DF9-DG5-DG6</f>
        <v>807</v>
      </c>
      <c r="DH4" s="13"/>
      <c r="DI4" s="14"/>
      <c r="DJ4" s="15">
        <f t="shared" ref="DJ4:DJ5" si="0">DG4/DF4</f>
        <v>1.2953451043338684</v>
      </c>
      <c r="DK4" s="15"/>
    </row>
    <row r="5" spans="1:115" ht="36" customHeight="1" x14ac:dyDescent="0.3">
      <c r="A5" s="16" t="s">
        <v>7</v>
      </c>
      <c r="B5" s="12">
        <v>110</v>
      </c>
      <c r="C5" s="12"/>
      <c r="D5" s="12">
        <v>115</v>
      </c>
      <c r="E5" s="12"/>
      <c r="F5" s="12">
        <v>115</v>
      </c>
      <c r="G5" s="12"/>
      <c r="H5" s="12">
        <v>115</v>
      </c>
      <c r="I5" s="12"/>
      <c r="J5" s="12">
        <v>115</v>
      </c>
      <c r="K5" s="12"/>
      <c r="L5" s="12">
        <v>115</v>
      </c>
      <c r="M5" s="12"/>
      <c r="N5" s="12">
        <v>115</v>
      </c>
      <c r="O5" s="12"/>
      <c r="P5" s="12">
        <v>115</v>
      </c>
      <c r="Q5" s="12"/>
      <c r="R5" s="12">
        <v>115</v>
      </c>
      <c r="S5" s="12"/>
      <c r="T5" s="12">
        <v>115</v>
      </c>
      <c r="U5" s="12"/>
      <c r="V5" s="12">
        <v>115</v>
      </c>
      <c r="W5" s="12"/>
      <c r="X5" s="12">
        <v>115</v>
      </c>
      <c r="Y5" s="12"/>
      <c r="Z5" s="12">
        <v>115</v>
      </c>
      <c r="AA5" s="12"/>
      <c r="AB5" s="12">
        <v>115</v>
      </c>
      <c r="AC5" s="12"/>
      <c r="AD5" s="12">
        <v>115</v>
      </c>
      <c r="AE5" s="12"/>
      <c r="AF5" s="12">
        <v>115</v>
      </c>
      <c r="AG5" s="12"/>
      <c r="AH5" s="12">
        <v>115</v>
      </c>
      <c r="AI5" s="12"/>
      <c r="AJ5" s="12">
        <v>115</v>
      </c>
      <c r="AK5" s="12"/>
      <c r="AL5" s="12">
        <v>115</v>
      </c>
      <c r="AM5" s="12"/>
      <c r="AN5" s="12">
        <v>115</v>
      </c>
      <c r="AO5" s="12"/>
      <c r="AP5" s="12">
        <v>115</v>
      </c>
      <c r="AQ5" s="12"/>
      <c r="AR5" s="12">
        <v>115</v>
      </c>
      <c r="AS5" s="12"/>
      <c r="AT5" s="12">
        <v>115</v>
      </c>
      <c r="AU5" s="12"/>
      <c r="AV5" s="12">
        <v>115</v>
      </c>
      <c r="AW5" s="12"/>
      <c r="AX5" s="12">
        <v>115</v>
      </c>
      <c r="AY5" s="12"/>
      <c r="AZ5" s="12">
        <v>115</v>
      </c>
      <c r="BA5" s="12"/>
      <c r="BB5" s="12">
        <v>115</v>
      </c>
      <c r="BC5" s="12"/>
      <c r="BD5" s="12">
        <v>115</v>
      </c>
      <c r="BE5" s="12"/>
      <c r="BF5" s="12">
        <v>115</v>
      </c>
      <c r="BG5" s="12"/>
      <c r="BH5" s="12">
        <v>115</v>
      </c>
      <c r="BI5" s="12"/>
      <c r="BJ5" s="12">
        <v>115</v>
      </c>
      <c r="BK5" s="12"/>
      <c r="BL5" s="12">
        <v>115</v>
      </c>
      <c r="BM5" s="12"/>
      <c r="BN5" s="12">
        <v>115</v>
      </c>
      <c r="BO5" s="12"/>
      <c r="BP5" s="12">
        <v>115</v>
      </c>
      <c r="BQ5" s="12"/>
      <c r="BR5" s="12">
        <v>115</v>
      </c>
      <c r="BS5" s="12"/>
      <c r="BT5" s="12">
        <v>115</v>
      </c>
      <c r="BU5" s="12"/>
      <c r="BV5" s="12">
        <v>115</v>
      </c>
      <c r="BW5" s="12"/>
      <c r="BX5" s="12">
        <v>115</v>
      </c>
      <c r="BY5" s="12"/>
      <c r="BZ5" s="12">
        <v>115</v>
      </c>
      <c r="CA5" s="12"/>
      <c r="CB5" s="12">
        <v>115</v>
      </c>
      <c r="CC5" s="12"/>
      <c r="CD5" s="12">
        <v>115</v>
      </c>
      <c r="CE5" s="12"/>
      <c r="CF5" s="12">
        <v>115</v>
      </c>
      <c r="CG5" s="12"/>
      <c r="CH5" s="12">
        <v>115</v>
      </c>
      <c r="CI5" s="12"/>
      <c r="CJ5" s="12">
        <v>115</v>
      </c>
      <c r="CK5" s="12"/>
      <c r="CL5" s="12">
        <v>115</v>
      </c>
      <c r="CM5" s="12"/>
      <c r="CN5" s="12">
        <v>115</v>
      </c>
      <c r="CO5" s="12"/>
      <c r="CP5" s="12">
        <v>115</v>
      </c>
      <c r="CQ5" s="12"/>
      <c r="CR5" s="12">
        <v>115</v>
      </c>
      <c r="CS5" s="12"/>
      <c r="CT5" s="12">
        <v>115</v>
      </c>
      <c r="CU5" s="12"/>
      <c r="CV5" s="12">
        <v>115</v>
      </c>
      <c r="CW5" s="12"/>
      <c r="CX5" s="12">
        <v>115</v>
      </c>
      <c r="CY5" s="12"/>
      <c r="CZ5" s="12">
        <v>115</v>
      </c>
      <c r="DA5" s="12"/>
      <c r="DB5" s="12">
        <v>115</v>
      </c>
      <c r="DC5" s="12"/>
      <c r="DD5" s="12">
        <v>115</v>
      </c>
      <c r="DE5" s="12"/>
      <c r="DF5" s="12">
        <v>115</v>
      </c>
      <c r="DG5" s="12">
        <v>225</v>
      </c>
      <c r="DH5" s="13"/>
      <c r="DI5" s="13"/>
      <c r="DJ5" s="15">
        <f t="shared" si="0"/>
        <v>1.9565217391304348</v>
      </c>
      <c r="DK5" s="15"/>
    </row>
    <row r="6" spans="1:115" ht="22.5" customHeight="1" x14ac:dyDescent="0.3">
      <c r="A6" s="17" t="s">
        <v>8</v>
      </c>
      <c r="B6" s="12">
        <v>13</v>
      </c>
      <c r="C6" s="12"/>
      <c r="D6" s="12">
        <v>13</v>
      </c>
      <c r="E6" s="12"/>
      <c r="F6" s="12">
        <v>13</v>
      </c>
      <c r="G6" s="12"/>
      <c r="H6" s="12">
        <v>13</v>
      </c>
      <c r="I6" s="12"/>
      <c r="J6" s="12">
        <v>13</v>
      </c>
      <c r="K6" s="12"/>
      <c r="L6" s="12">
        <v>13</v>
      </c>
      <c r="M6" s="12"/>
      <c r="N6" s="12">
        <v>13</v>
      </c>
      <c r="O6" s="12"/>
      <c r="P6" s="12">
        <v>13</v>
      </c>
      <c r="Q6" s="12"/>
      <c r="R6" s="12">
        <v>13</v>
      </c>
      <c r="S6" s="12"/>
      <c r="T6" s="12">
        <v>13</v>
      </c>
      <c r="U6" s="12"/>
      <c r="V6" s="12">
        <v>13</v>
      </c>
      <c r="W6" s="12"/>
      <c r="X6" s="12">
        <v>13</v>
      </c>
      <c r="Y6" s="12"/>
      <c r="Z6" s="12">
        <v>13</v>
      </c>
      <c r="AA6" s="12"/>
      <c r="AB6" s="12">
        <v>13</v>
      </c>
      <c r="AC6" s="12"/>
      <c r="AD6" s="12">
        <v>13</v>
      </c>
      <c r="AE6" s="12"/>
      <c r="AF6" s="12">
        <v>13</v>
      </c>
      <c r="AG6" s="12"/>
      <c r="AH6" s="12">
        <v>13</v>
      </c>
      <c r="AI6" s="12"/>
      <c r="AJ6" s="12">
        <v>13</v>
      </c>
      <c r="AK6" s="12"/>
      <c r="AL6" s="12">
        <v>13</v>
      </c>
      <c r="AM6" s="12"/>
      <c r="AN6" s="12">
        <v>13</v>
      </c>
      <c r="AO6" s="12"/>
      <c r="AP6" s="12">
        <v>13</v>
      </c>
      <c r="AQ6" s="12"/>
      <c r="AR6" s="12">
        <v>13</v>
      </c>
      <c r="AS6" s="12"/>
      <c r="AT6" s="12">
        <v>13</v>
      </c>
      <c r="AU6" s="12"/>
      <c r="AV6" s="12">
        <v>13</v>
      </c>
      <c r="AW6" s="12"/>
      <c r="AX6" s="12">
        <v>13</v>
      </c>
      <c r="AY6" s="12"/>
      <c r="AZ6" s="12">
        <v>13</v>
      </c>
      <c r="BA6" s="12"/>
      <c r="BB6" s="12">
        <v>13</v>
      </c>
      <c r="BC6" s="12"/>
      <c r="BD6" s="12">
        <v>13</v>
      </c>
      <c r="BE6" s="12"/>
      <c r="BF6" s="12">
        <v>13</v>
      </c>
      <c r="BG6" s="12"/>
      <c r="BH6" s="12">
        <v>13</v>
      </c>
      <c r="BI6" s="12"/>
      <c r="BJ6" s="12">
        <v>13</v>
      </c>
      <c r="BK6" s="12"/>
      <c r="BL6" s="12">
        <v>13</v>
      </c>
      <c r="BM6" s="12"/>
      <c r="BN6" s="12">
        <v>13</v>
      </c>
      <c r="BO6" s="12"/>
      <c r="BP6" s="12">
        <v>13</v>
      </c>
      <c r="BQ6" s="12"/>
      <c r="BR6" s="12">
        <v>13</v>
      </c>
      <c r="BS6" s="12"/>
      <c r="BT6" s="12">
        <v>13</v>
      </c>
      <c r="BU6" s="12"/>
      <c r="BV6" s="12">
        <v>13</v>
      </c>
      <c r="BW6" s="12"/>
      <c r="BX6" s="12">
        <v>13</v>
      </c>
      <c r="BY6" s="12"/>
      <c r="BZ6" s="12">
        <v>13</v>
      </c>
      <c r="CA6" s="12"/>
      <c r="CB6" s="12">
        <v>13</v>
      </c>
      <c r="CC6" s="12"/>
      <c r="CD6" s="12">
        <v>13</v>
      </c>
      <c r="CE6" s="12"/>
      <c r="CF6" s="12">
        <v>13</v>
      </c>
      <c r="CG6" s="12"/>
      <c r="CH6" s="12">
        <v>13</v>
      </c>
      <c r="CI6" s="12"/>
      <c r="CJ6" s="12">
        <v>13</v>
      </c>
      <c r="CK6" s="12"/>
      <c r="CL6" s="12">
        <v>13</v>
      </c>
      <c r="CM6" s="12"/>
      <c r="CN6" s="12">
        <v>13</v>
      </c>
      <c r="CO6" s="12"/>
      <c r="CP6" s="12">
        <v>13</v>
      </c>
      <c r="CQ6" s="12"/>
      <c r="CR6" s="12">
        <v>13</v>
      </c>
      <c r="CS6" s="12"/>
      <c r="CT6" s="12">
        <v>13</v>
      </c>
      <c r="CU6" s="12"/>
      <c r="CV6" s="12"/>
      <c r="CW6" s="12"/>
      <c r="CX6" s="12"/>
      <c r="CY6" s="12"/>
      <c r="CZ6" s="12"/>
      <c r="DA6" s="12"/>
      <c r="DB6" s="12"/>
      <c r="DC6" s="12"/>
      <c r="DD6" s="12"/>
      <c r="DE6" s="12"/>
      <c r="DF6" s="12"/>
      <c r="DG6" s="12">
        <v>115</v>
      </c>
      <c r="DH6" s="18">
        <v>13000</v>
      </c>
      <c r="DI6" s="13">
        <f>DI22</f>
        <v>17725</v>
      </c>
      <c r="DJ6" s="15"/>
      <c r="DK6" s="15">
        <f>DI6/DH6</f>
        <v>1.3634615384615385</v>
      </c>
    </row>
    <row r="7" spans="1:115" ht="17.399999999999999" x14ac:dyDescent="0.3">
      <c r="A7" s="12" t="s">
        <v>9</v>
      </c>
      <c r="B7" s="420">
        <f>B5+B4</f>
        <v>733</v>
      </c>
      <c r="C7" s="420"/>
      <c r="D7" s="420">
        <f>D5+D4</f>
        <v>738</v>
      </c>
      <c r="E7" s="420"/>
      <c r="F7" s="420">
        <f>F5+F4</f>
        <v>738</v>
      </c>
      <c r="G7" s="420"/>
      <c r="H7" s="420">
        <f>H5+H4</f>
        <v>738</v>
      </c>
      <c r="I7" s="420"/>
      <c r="J7" s="420">
        <f>J5+J4</f>
        <v>738</v>
      </c>
      <c r="K7" s="420"/>
      <c r="L7" s="420">
        <f>L5+L4</f>
        <v>738</v>
      </c>
      <c r="M7" s="420"/>
      <c r="N7" s="420">
        <f>N5+N4</f>
        <v>738</v>
      </c>
      <c r="O7" s="420"/>
      <c r="P7" s="420">
        <f>P5+P4</f>
        <v>738</v>
      </c>
      <c r="Q7" s="420"/>
      <c r="R7" s="420">
        <f>R5+R4</f>
        <v>738</v>
      </c>
      <c r="S7" s="420"/>
      <c r="T7" s="420">
        <f>T5+T4</f>
        <v>738</v>
      </c>
      <c r="U7" s="420"/>
      <c r="V7" s="420">
        <f>V5+V4</f>
        <v>738</v>
      </c>
      <c r="W7" s="420"/>
      <c r="X7" s="420">
        <f>X5+X4</f>
        <v>738</v>
      </c>
      <c r="Y7" s="420"/>
      <c r="Z7" s="420">
        <f>Z5+Z4</f>
        <v>738</v>
      </c>
      <c r="AA7" s="420"/>
      <c r="AB7" s="420">
        <f>AB5+AB4</f>
        <v>738</v>
      </c>
      <c r="AC7" s="420"/>
      <c r="AD7" s="420">
        <f>AD5+AD4</f>
        <v>738</v>
      </c>
      <c r="AE7" s="420"/>
      <c r="AF7" s="420">
        <f>AF5+AF4</f>
        <v>738</v>
      </c>
      <c r="AG7" s="420"/>
      <c r="AH7" s="420">
        <f>AH5+AH4</f>
        <v>738</v>
      </c>
      <c r="AI7" s="420"/>
      <c r="AJ7" s="420">
        <f>AJ5+AJ4</f>
        <v>738</v>
      </c>
      <c r="AK7" s="420"/>
      <c r="AL7" s="420">
        <f>AL5+AL4</f>
        <v>738</v>
      </c>
      <c r="AM7" s="420"/>
      <c r="AN7" s="420">
        <f>AN5+AN4</f>
        <v>738</v>
      </c>
      <c r="AO7" s="420"/>
      <c r="AP7" s="420">
        <f>AP5+AP4</f>
        <v>738</v>
      </c>
      <c r="AQ7" s="420"/>
      <c r="AR7" s="420">
        <f>AR5+AR4</f>
        <v>738</v>
      </c>
      <c r="AS7" s="420"/>
      <c r="AT7" s="420">
        <f>AT5+AT4</f>
        <v>738</v>
      </c>
      <c r="AU7" s="420"/>
      <c r="AV7" s="420">
        <f>AV5+AV4</f>
        <v>738</v>
      </c>
      <c r="AW7" s="420"/>
      <c r="AX7" s="420">
        <f>AX5+AX4</f>
        <v>738</v>
      </c>
      <c r="AY7" s="420"/>
      <c r="AZ7" s="420">
        <f>AZ5+AZ4</f>
        <v>738</v>
      </c>
      <c r="BA7" s="420"/>
      <c r="BB7" s="420">
        <f>BB5+BB4</f>
        <v>738</v>
      </c>
      <c r="BC7" s="420"/>
      <c r="BD7" s="420">
        <f>BD5+BD4</f>
        <v>738</v>
      </c>
      <c r="BE7" s="420"/>
      <c r="BF7" s="420">
        <f>BF5+BF4</f>
        <v>738</v>
      </c>
      <c r="BG7" s="420"/>
      <c r="BH7" s="420">
        <f>BH5+BH4</f>
        <v>738</v>
      </c>
      <c r="BI7" s="420"/>
      <c r="BJ7" s="420">
        <f>BJ5+BJ4</f>
        <v>738</v>
      </c>
      <c r="BK7" s="420"/>
      <c r="BL7" s="420">
        <f>BL5+BL4</f>
        <v>738</v>
      </c>
      <c r="BM7" s="420"/>
      <c r="BN7" s="420">
        <f>BN5+BN4</f>
        <v>738</v>
      </c>
      <c r="BO7" s="420"/>
      <c r="BP7" s="420">
        <f>BP5+BP4</f>
        <v>738</v>
      </c>
      <c r="BQ7" s="420"/>
      <c r="BR7" s="420">
        <f>BR5+BR4</f>
        <v>738</v>
      </c>
      <c r="BS7" s="420"/>
      <c r="BT7" s="420">
        <f>BT5+BT4</f>
        <v>738</v>
      </c>
      <c r="BU7" s="420"/>
      <c r="BV7" s="420">
        <f>BV5+BV4</f>
        <v>738</v>
      </c>
      <c r="BW7" s="420"/>
      <c r="BX7" s="420">
        <f>BX5+BX4</f>
        <v>738</v>
      </c>
      <c r="BY7" s="420"/>
      <c r="BZ7" s="420">
        <f>BZ5+BZ4</f>
        <v>738</v>
      </c>
      <c r="CA7" s="420"/>
      <c r="CB7" s="420">
        <f>CB5+CB4</f>
        <v>738</v>
      </c>
      <c r="CC7" s="420"/>
      <c r="CD7" s="420">
        <f>CD5+CD4</f>
        <v>738</v>
      </c>
      <c r="CE7" s="420"/>
      <c r="CF7" s="420">
        <f>CF5+CF4</f>
        <v>738</v>
      </c>
      <c r="CG7" s="420"/>
      <c r="CH7" s="420">
        <f>CH5+CH4</f>
        <v>738</v>
      </c>
      <c r="CI7" s="420"/>
      <c r="CJ7" s="420">
        <f>CJ5+CJ4</f>
        <v>738</v>
      </c>
      <c r="CK7" s="420"/>
      <c r="CL7" s="420">
        <f>CL5+CL4</f>
        <v>738</v>
      </c>
      <c r="CM7" s="420"/>
      <c r="CN7" s="420">
        <f>CN5+CN4</f>
        <v>738</v>
      </c>
      <c r="CO7" s="420"/>
      <c r="CP7" s="420">
        <f>CP5+CP4</f>
        <v>738</v>
      </c>
      <c r="CQ7" s="420"/>
      <c r="CR7" s="420">
        <f>CR5+CR4</f>
        <v>738</v>
      </c>
      <c r="CS7" s="420"/>
      <c r="CT7" s="420">
        <f>CT5+CT4</f>
        <v>738</v>
      </c>
      <c r="CU7" s="420"/>
      <c r="CV7" s="420">
        <f>CV5+CV4</f>
        <v>738</v>
      </c>
      <c r="CW7" s="420"/>
      <c r="CX7" s="420">
        <f>CX5+CX4</f>
        <v>738</v>
      </c>
      <c r="CY7" s="420"/>
      <c r="CZ7" s="420">
        <f>CZ5+CZ4</f>
        <v>738</v>
      </c>
      <c r="DA7" s="420"/>
      <c r="DB7" s="420">
        <f>DB5+DB4</f>
        <v>738</v>
      </c>
      <c r="DC7" s="420"/>
      <c r="DD7" s="420">
        <f>DD5+DD4</f>
        <v>738</v>
      </c>
      <c r="DE7" s="420"/>
      <c r="DF7" s="420">
        <f>DF5+DF4</f>
        <v>738</v>
      </c>
      <c r="DG7" s="420"/>
      <c r="DH7" s="427">
        <v>1599849</v>
      </c>
      <c r="DI7" s="427"/>
      <c r="DJ7" s="428">
        <v>1284250.8500000001</v>
      </c>
      <c r="DK7" s="429"/>
    </row>
    <row r="8" spans="1:115" ht="17.399999999999999" x14ac:dyDescent="0.3">
      <c r="A8" s="12"/>
      <c r="B8" s="12"/>
      <c r="C8" s="12"/>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20"/>
      <c r="BQ8" s="21"/>
      <c r="BR8" s="12"/>
      <c r="BS8" s="12"/>
      <c r="BT8" s="12"/>
      <c r="BU8" s="12"/>
      <c r="BV8" s="21"/>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9" t="s">
        <v>3</v>
      </c>
      <c r="DI8" s="19" t="s">
        <v>4</v>
      </c>
      <c r="DJ8" s="13" t="s">
        <v>5</v>
      </c>
      <c r="DK8" s="13" t="s">
        <v>5</v>
      </c>
    </row>
    <row r="9" spans="1:115" ht="21.75" customHeight="1" x14ac:dyDescent="0.3">
      <c r="A9" s="11" t="s">
        <v>10</v>
      </c>
      <c r="B9" s="420">
        <v>877</v>
      </c>
      <c r="C9" s="420"/>
      <c r="D9" s="430">
        <v>874</v>
      </c>
      <c r="E9" s="420"/>
      <c r="F9" s="430">
        <v>880</v>
      </c>
      <c r="G9" s="420"/>
      <c r="H9" s="430">
        <v>884</v>
      </c>
      <c r="I9" s="420"/>
      <c r="J9" s="430">
        <v>889</v>
      </c>
      <c r="K9" s="420"/>
      <c r="L9" s="422">
        <v>894</v>
      </c>
      <c r="M9" s="422"/>
      <c r="N9" s="422">
        <v>902</v>
      </c>
      <c r="O9" s="422"/>
      <c r="P9" s="422">
        <v>903</v>
      </c>
      <c r="Q9" s="422"/>
      <c r="R9" s="422">
        <v>905</v>
      </c>
      <c r="S9" s="422"/>
      <c r="T9" s="422">
        <v>915</v>
      </c>
      <c r="U9" s="422"/>
      <c r="V9" s="422">
        <v>925</v>
      </c>
      <c r="W9" s="422"/>
      <c r="X9" s="430">
        <v>932</v>
      </c>
      <c r="Y9" s="430"/>
      <c r="Z9" s="422">
        <v>930</v>
      </c>
      <c r="AA9" s="422"/>
      <c r="AB9" s="422">
        <v>937</v>
      </c>
      <c r="AC9" s="422"/>
      <c r="AD9" s="397">
        <v>943</v>
      </c>
      <c r="AE9" s="397"/>
      <c r="AF9" s="397">
        <v>959</v>
      </c>
      <c r="AG9" s="397"/>
      <c r="AH9" s="422">
        <v>955</v>
      </c>
      <c r="AI9" s="422"/>
      <c r="AJ9" s="422">
        <v>960</v>
      </c>
      <c r="AK9" s="422"/>
      <c r="AL9" s="422">
        <v>964</v>
      </c>
      <c r="AM9" s="422"/>
      <c r="AN9" s="422">
        <v>969</v>
      </c>
      <c r="AO9" s="422"/>
      <c r="AP9" s="422">
        <v>969</v>
      </c>
      <c r="AQ9" s="422"/>
      <c r="AR9" s="397">
        <v>973</v>
      </c>
      <c r="AS9" s="397"/>
      <c r="AT9" s="422">
        <v>978</v>
      </c>
      <c r="AU9" s="422"/>
      <c r="AV9" s="422">
        <v>982</v>
      </c>
      <c r="AW9" s="422"/>
      <c r="AX9" s="422">
        <v>990</v>
      </c>
      <c r="AY9" s="422"/>
      <c r="AZ9" s="422">
        <v>991</v>
      </c>
      <c r="BA9" s="422"/>
      <c r="BB9" s="422">
        <v>996</v>
      </c>
      <c r="BC9" s="422"/>
      <c r="BD9" s="422">
        <v>999</v>
      </c>
      <c r="BE9" s="422"/>
      <c r="BF9" s="422">
        <v>1001</v>
      </c>
      <c r="BG9" s="422"/>
      <c r="BH9" s="422">
        <v>1004</v>
      </c>
      <c r="BI9" s="422"/>
      <c r="BJ9" s="422">
        <v>1005</v>
      </c>
      <c r="BK9" s="422"/>
      <c r="BL9" s="422">
        <v>1007</v>
      </c>
      <c r="BM9" s="422"/>
      <c r="BN9" s="422">
        <v>1016</v>
      </c>
      <c r="BO9" s="422"/>
      <c r="BP9" s="425">
        <v>1027</v>
      </c>
      <c r="BQ9" s="426"/>
      <c r="BR9" s="423">
        <v>1038</v>
      </c>
      <c r="BS9" s="424"/>
      <c r="BT9" s="422">
        <v>1036</v>
      </c>
      <c r="BU9" s="422"/>
      <c r="BV9" s="403">
        <v>1045</v>
      </c>
      <c r="BW9" s="422"/>
      <c r="BX9" s="397">
        <v>1049</v>
      </c>
      <c r="BY9" s="397"/>
      <c r="BZ9" s="422">
        <v>1048</v>
      </c>
      <c r="CA9" s="422"/>
      <c r="CB9" s="422">
        <v>1050</v>
      </c>
      <c r="CC9" s="422"/>
      <c r="CD9" s="422">
        <v>1061</v>
      </c>
      <c r="CE9" s="422"/>
      <c r="CF9" s="422">
        <v>1063</v>
      </c>
      <c r="CG9" s="422"/>
      <c r="CH9" s="402">
        <v>1067</v>
      </c>
      <c r="CI9" s="403"/>
      <c r="CJ9" s="422">
        <v>1070</v>
      </c>
      <c r="CK9" s="422"/>
      <c r="CL9" s="422">
        <v>1074</v>
      </c>
      <c r="CM9" s="422"/>
      <c r="CN9" s="422">
        <v>1079</v>
      </c>
      <c r="CO9" s="422"/>
      <c r="CP9" s="422">
        <v>1088</v>
      </c>
      <c r="CQ9" s="422"/>
      <c r="CR9" s="422">
        <v>1093</v>
      </c>
      <c r="CS9" s="422"/>
      <c r="CT9" s="422">
        <v>1093</v>
      </c>
      <c r="CU9" s="422"/>
      <c r="CV9" s="422">
        <v>1101</v>
      </c>
      <c r="CW9" s="422"/>
      <c r="CX9" s="422">
        <v>1102</v>
      </c>
      <c r="CY9" s="422"/>
      <c r="CZ9" s="420">
        <v>1111</v>
      </c>
      <c r="DA9" s="420"/>
      <c r="DB9" s="420">
        <v>1124</v>
      </c>
      <c r="DC9" s="420"/>
      <c r="DD9" s="420">
        <v>1147</v>
      </c>
      <c r="DE9" s="420"/>
      <c r="DF9" s="421">
        <v>1147</v>
      </c>
      <c r="DG9" s="390"/>
      <c r="DH9" s="30">
        <f>DH7</f>
        <v>1599849</v>
      </c>
      <c r="DI9" s="31">
        <v>1408280.5290000001</v>
      </c>
      <c r="DJ9" s="15">
        <f>DF9/DF7</f>
        <v>1.5542005420054201</v>
      </c>
      <c r="DK9" s="15">
        <f>DI9/DH9</f>
        <v>0.88025840501197306</v>
      </c>
    </row>
    <row r="10" spans="1:115" ht="28.5" customHeight="1" x14ac:dyDescent="0.3">
      <c r="A10" s="32" t="s">
        <v>11</v>
      </c>
      <c r="B10" s="12"/>
      <c r="C10" s="12"/>
      <c r="D10" s="22"/>
      <c r="E10" s="12"/>
      <c r="F10" s="22"/>
      <c r="G10" s="12"/>
      <c r="H10" s="22"/>
      <c r="I10" s="12"/>
      <c r="J10" s="22"/>
      <c r="K10" s="12"/>
      <c r="L10" s="23"/>
      <c r="M10" s="23"/>
      <c r="N10" s="23"/>
      <c r="O10" s="23"/>
      <c r="P10" s="23"/>
      <c r="Q10" s="23"/>
      <c r="R10" s="23"/>
      <c r="S10" s="23"/>
      <c r="T10" s="23"/>
      <c r="U10" s="23"/>
      <c r="V10" s="23"/>
      <c r="W10" s="23"/>
      <c r="X10" s="22"/>
      <c r="Y10" s="22"/>
      <c r="Z10" s="23"/>
      <c r="AA10" s="23"/>
      <c r="AB10" s="23"/>
      <c r="AC10" s="23"/>
      <c r="AD10" s="24"/>
      <c r="AE10" s="24"/>
      <c r="AF10" s="24"/>
      <c r="AG10" s="24"/>
      <c r="AH10" s="23"/>
      <c r="AI10" s="23"/>
      <c r="AJ10" s="23"/>
      <c r="AK10" s="23"/>
      <c r="AL10" s="23"/>
      <c r="AM10" s="23"/>
      <c r="AN10" s="402"/>
      <c r="AO10" s="403"/>
      <c r="AP10" s="23"/>
      <c r="AQ10" s="23"/>
      <c r="AR10" s="24"/>
      <c r="AS10" s="24"/>
      <c r="AT10" s="23"/>
      <c r="AU10" s="23"/>
      <c r="AV10" s="23"/>
      <c r="AW10" s="23"/>
      <c r="AX10" s="23"/>
      <c r="AY10" s="23"/>
      <c r="AZ10" s="23"/>
      <c r="BA10" s="23"/>
      <c r="BB10" s="23"/>
      <c r="BC10" s="23"/>
      <c r="BD10" s="23"/>
      <c r="BE10" s="23"/>
      <c r="BF10" s="23"/>
      <c r="BG10" s="23"/>
      <c r="BH10" s="23"/>
      <c r="BI10" s="23"/>
      <c r="BJ10" s="23"/>
      <c r="BK10" s="23"/>
      <c r="BL10" s="23"/>
      <c r="BM10" s="23"/>
      <c r="BN10" s="23"/>
      <c r="BO10" s="23"/>
      <c r="BP10" s="25"/>
      <c r="BQ10" s="26"/>
      <c r="BR10" s="27"/>
      <c r="BS10" s="28"/>
      <c r="BT10" s="23"/>
      <c r="BU10" s="23"/>
      <c r="BV10" s="29"/>
      <c r="BW10" s="23"/>
      <c r="BX10" s="24"/>
      <c r="BY10" s="24"/>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12"/>
      <c r="DA10" s="12"/>
      <c r="DB10" s="12"/>
      <c r="DC10" s="12"/>
      <c r="DD10" s="12"/>
      <c r="DE10" s="12"/>
      <c r="DF10" s="12"/>
      <c r="DG10" s="12"/>
      <c r="DH10" s="31">
        <f>DI9*0.15</f>
        <v>211242.07935000001</v>
      </c>
      <c r="DI10" s="31">
        <v>309044.50900000002</v>
      </c>
      <c r="DJ10" s="13">
        <f>DI10/DI9*100</f>
        <v>21.944811607915089</v>
      </c>
      <c r="DK10" s="15">
        <f>DI10/DH10</f>
        <v>1.4629874405276726</v>
      </c>
    </row>
    <row r="11" spans="1:115" ht="22.5" customHeight="1" x14ac:dyDescent="0.3">
      <c r="A11" s="12" t="s">
        <v>12</v>
      </c>
      <c r="B11" s="418">
        <f>B9/B7</f>
        <v>1.1964529331514324</v>
      </c>
      <c r="C11" s="418"/>
      <c r="D11" s="418">
        <f>D9/D7</f>
        <v>1.1842818428184281</v>
      </c>
      <c r="E11" s="418"/>
      <c r="F11" s="418">
        <f>F9/F7</f>
        <v>1.1924119241192412</v>
      </c>
      <c r="G11" s="418"/>
      <c r="H11" s="418">
        <f>H9/H7</f>
        <v>1.1978319783197833</v>
      </c>
      <c r="I11" s="418"/>
      <c r="J11" s="418">
        <f>J9/J7</f>
        <v>1.2046070460704608</v>
      </c>
      <c r="K11" s="418"/>
      <c r="L11" s="418">
        <f>L9/L7</f>
        <v>1.2113821138211383</v>
      </c>
      <c r="M11" s="418"/>
      <c r="N11" s="418">
        <f>N9/N7</f>
        <v>1.2222222222222223</v>
      </c>
      <c r="O11" s="418"/>
      <c r="P11" s="418">
        <f>P9/P7</f>
        <v>1.2235772357723578</v>
      </c>
      <c r="Q11" s="418"/>
      <c r="R11" s="418">
        <f>R9/R7</f>
        <v>1.2262872628726287</v>
      </c>
      <c r="S11" s="418"/>
      <c r="T11" s="418">
        <f>T9/T7</f>
        <v>1.2398373983739837</v>
      </c>
      <c r="U11" s="418"/>
      <c r="V11" s="418">
        <f>V9/V7</f>
        <v>1.2533875338753389</v>
      </c>
      <c r="W11" s="418"/>
      <c r="X11" s="418">
        <f>X9/X7</f>
        <v>1.2628726287262872</v>
      </c>
      <c r="Y11" s="418"/>
      <c r="Z11" s="418">
        <f>Z9/Z7</f>
        <v>1.2601626016260163</v>
      </c>
      <c r="AA11" s="418"/>
      <c r="AB11" s="418">
        <f>AB9/AB7</f>
        <v>1.2696476964769647</v>
      </c>
      <c r="AC11" s="418"/>
      <c r="AD11" s="418">
        <f>AD9/AD7</f>
        <v>1.2777777777777777</v>
      </c>
      <c r="AE11" s="418"/>
      <c r="AF11" s="418">
        <f>AF9/AF7</f>
        <v>1.2994579945799458</v>
      </c>
      <c r="AG11" s="418"/>
      <c r="AH11" s="418">
        <f>AH9/AH7</f>
        <v>1.2940379403794038</v>
      </c>
      <c r="AI11" s="418"/>
      <c r="AJ11" s="418">
        <f>AJ9/AJ7</f>
        <v>1.3008130081300813</v>
      </c>
      <c r="AK11" s="418"/>
      <c r="AL11" s="418">
        <f>AL9/AL7</f>
        <v>1.3062330623306233</v>
      </c>
      <c r="AM11" s="418"/>
      <c r="AN11" s="418">
        <f>AN9/AN7</f>
        <v>1.3130081300813008</v>
      </c>
      <c r="AO11" s="418"/>
      <c r="AP11" s="418">
        <f>AP9/AP7</f>
        <v>1.3130081300813008</v>
      </c>
      <c r="AQ11" s="418"/>
      <c r="AR11" s="418">
        <f>AR9/AR7</f>
        <v>1.3184281842818428</v>
      </c>
      <c r="AS11" s="418"/>
      <c r="AT11" s="418">
        <f>AT9/AT7</f>
        <v>1.3252032520325203</v>
      </c>
      <c r="AU11" s="418"/>
      <c r="AV11" s="418">
        <f>AV9/AV7</f>
        <v>1.3306233062330624</v>
      </c>
      <c r="AW11" s="418"/>
      <c r="AX11" s="418">
        <f>AX9/AX7</f>
        <v>1.3414634146341464</v>
      </c>
      <c r="AY11" s="418"/>
      <c r="AZ11" s="418">
        <f>AZ9/AZ7</f>
        <v>1.3428184281842819</v>
      </c>
      <c r="BA11" s="418"/>
      <c r="BB11" s="418">
        <f>BB9/BB7</f>
        <v>1.3495934959349594</v>
      </c>
      <c r="BC11" s="418"/>
      <c r="BD11" s="418">
        <f>BD9/BD7</f>
        <v>1.3536585365853659</v>
      </c>
      <c r="BE11" s="418"/>
      <c r="BF11" s="418">
        <f>BF9/BF7</f>
        <v>1.3563685636856369</v>
      </c>
      <c r="BG11" s="418"/>
      <c r="BH11" s="418">
        <f>BH9/BH7</f>
        <v>1.3604336043360434</v>
      </c>
      <c r="BI11" s="418"/>
      <c r="BJ11" s="418">
        <f>BJ9/BJ7</f>
        <v>1.3617886178861789</v>
      </c>
      <c r="BK11" s="418"/>
      <c r="BL11" s="418">
        <f>BL9/BL7</f>
        <v>1.3644986449864498</v>
      </c>
      <c r="BM11" s="418"/>
      <c r="BN11" s="418">
        <f>BN9/BN7</f>
        <v>1.3766937669376693</v>
      </c>
      <c r="BO11" s="418"/>
      <c r="BP11" s="418">
        <f>BP9/BP7</f>
        <v>1.39159891598916</v>
      </c>
      <c r="BQ11" s="418"/>
      <c r="BR11" s="418">
        <f>BR9/BR7</f>
        <v>1.4065040650406504</v>
      </c>
      <c r="BS11" s="418"/>
      <c r="BT11" s="418">
        <f>BT9/BT7</f>
        <v>1.4037940379403795</v>
      </c>
      <c r="BU11" s="418"/>
      <c r="BV11" s="418">
        <f>BV9/BV7</f>
        <v>1.415989159891599</v>
      </c>
      <c r="BW11" s="418"/>
      <c r="BX11" s="418">
        <f>BX9/BX7</f>
        <v>1.4214092140921408</v>
      </c>
      <c r="BY11" s="418"/>
      <c r="BZ11" s="418">
        <f>BZ9/BZ7</f>
        <v>1.4200542005420054</v>
      </c>
      <c r="CA11" s="418"/>
      <c r="CB11" s="418">
        <f>CB9/CB7</f>
        <v>1.4227642276422765</v>
      </c>
      <c r="CC11" s="418"/>
      <c r="CD11" s="418">
        <f>CD9/CD7</f>
        <v>1.4376693766937669</v>
      </c>
      <c r="CE11" s="418"/>
      <c r="CF11" s="418">
        <f>CF9/CF7</f>
        <v>1.4403794037940378</v>
      </c>
      <c r="CG11" s="418"/>
      <c r="CH11" s="418">
        <f>CH9/CH7</f>
        <v>1.4457994579945799</v>
      </c>
      <c r="CI11" s="418"/>
      <c r="CJ11" s="418">
        <f>CJ9/CJ7</f>
        <v>1.4498644986449865</v>
      </c>
      <c r="CK11" s="418"/>
      <c r="CL11" s="418">
        <f>CL9/CL7</f>
        <v>1.4552845528455285</v>
      </c>
      <c r="CM11" s="418"/>
      <c r="CN11" s="418">
        <f>CN9/CN7</f>
        <v>1.462059620596206</v>
      </c>
      <c r="CO11" s="418"/>
      <c r="CP11" s="418">
        <f>CP9/CP7</f>
        <v>1.4742547425474255</v>
      </c>
      <c r="CQ11" s="418"/>
      <c r="CR11" s="418">
        <f>CR9/CR7</f>
        <v>1.481029810298103</v>
      </c>
      <c r="CS11" s="418"/>
      <c r="CT11" s="418">
        <f>CT9/CT7</f>
        <v>1.481029810298103</v>
      </c>
      <c r="CU11" s="418"/>
      <c r="CV11" s="418">
        <f>CV9/CV7</f>
        <v>1.4918699186991871</v>
      </c>
      <c r="CW11" s="418"/>
      <c r="CX11" s="418">
        <f>CX9/CX7</f>
        <v>1.4932249322493225</v>
      </c>
      <c r="CY11" s="418"/>
      <c r="CZ11" s="418">
        <f>CZ9/CZ7</f>
        <v>1.505420054200542</v>
      </c>
      <c r="DA11" s="418"/>
      <c r="DB11" s="418">
        <f>DB9/DB7</f>
        <v>1.5230352303523036</v>
      </c>
      <c r="DC11" s="418"/>
      <c r="DD11" s="418">
        <f>DD9/DD7</f>
        <v>1.5542005420054201</v>
      </c>
      <c r="DE11" s="418"/>
      <c r="DF11" s="418">
        <f>DF9/DF7</f>
        <v>1.5542005420054201</v>
      </c>
      <c r="DG11" s="418"/>
      <c r="DH11" s="419">
        <f>DI9/DH7</f>
        <v>0.88025840501197306</v>
      </c>
      <c r="DI11" s="419"/>
      <c r="DJ11" s="404"/>
      <c r="DK11" s="404"/>
    </row>
    <row r="12" spans="1:115" ht="18" x14ac:dyDescent="0.35">
      <c r="A12" s="33" t="s">
        <v>13</v>
      </c>
      <c r="B12" s="405">
        <v>7</v>
      </c>
      <c r="C12" s="406"/>
      <c r="D12" s="407">
        <v>8</v>
      </c>
      <c r="E12" s="408"/>
      <c r="F12" s="409">
        <v>3</v>
      </c>
      <c r="G12" s="410"/>
      <c r="H12" s="411">
        <v>3</v>
      </c>
      <c r="I12" s="412"/>
      <c r="J12" s="411">
        <v>4</v>
      </c>
      <c r="K12" s="412"/>
      <c r="L12" s="413">
        <v>2</v>
      </c>
      <c r="M12" s="413"/>
      <c r="N12" s="411">
        <v>3</v>
      </c>
      <c r="O12" s="412"/>
      <c r="P12" s="413">
        <v>7</v>
      </c>
      <c r="Q12" s="413"/>
      <c r="R12" s="411">
        <v>2</v>
      </c>
      <c r="S12" s="412"/>
      <c r="T12" s="411">
        <v>6</v>
      </c>
      <c r="U12" s="412"/>
      <c r="V12" s="407">
        <v>2</v>
      </c>
      <c r="W12" s="408"/>
      <c r="X12" s="414">
        <v>5</v>
      </c>
      <c r="Y12" s="414"/>
      <c r="Z12" s="415">
        <v>8</v>
      </c>
      <c r="AA12" s="415"/>
      <c r="AB12" s="416">
        <v>3</v>
      </c>
      <c r="AC12" s="417"/>
      <c r="AD12" s="395">
        <v>6</v>
      </c>
      <c r="AE12" s="396"/>
      <c r="AF12" s="395">
        <v>0</v>
      </c>
      <c r="AG12" s="396"/>
      <c r="AH12" s="386">
        <v>6</v>
      </c>
      <c r="AI12" s="387"/>
      <c r="AJ12" s="386">
        <v>6</v>
      </c>
      <c r="AK12" s="387"/>
      <c r="AL12" s="386">
        <v>3</v>
      </c>
      <c r="AM12" s="387"/>
      <c r="AN12" s="386">
        <v>3</v>
      </c>
      <c r="AO12" s="387"/>
      <c r="AP12" s="386"/>
      <c r="AQ12" s="387"/>
      <c r="AR12" s="386">
        <v>6</v>
      </c>
      <c r="AS12" s="387"/>
      <c r="AT12" s="386">
        <v>5</v>
      </c>
      <c r="AU12" s="387"/>
      <c r="AV12" s="400">
        <v>6</v>
      </c>
      <c r="AW12" s="401"/>
      <c r="AX12" s="386">
        <v>2</v>
      </c>
      <c r="AY12" s="387"/>
      <c r="AZ12" s="386">
        <v>0</v>
      </c>
      <c r="BA12" s="387"/>
      <c r="BB12" s="386">
        <v>5</v>
      </c>
      <c r="BC12" s="387"/>
      <c r="BD12" s="386">
        <v>4</v>
      </c>
      <c r="BE12" s="387"/>
      <c r="BF12" s="402">
        <v>5</v>
      </c>
      <c r="BG12" s="403"/>
      <c r="BH12" s="402">
        <v>3</v>
      </c>
      <c r="BI12" s="403"/>
      <c r="BJ12" s="398">
        <v>6</v>
      </c>
      <c r="BK12" s="398"/>
      <c r="BL12" s="398">
        <v>8</v>
      </c>
      <c r="BM12" s="398"/>
      <c r="BN12" s="399">
        <v>5</v>
      </c>
      <c r="BO12" s="399"/>
      <c r="BP12" s="379">
        <v>0</v>
      </c>
      <c r="BQ12" s="379"/>
      <c r="BR12" s="379">
        <v>8</v>
      </c>
      <c r="BS12" s="379"/>
      <c r="BT12" s="398">
        <v>2</v>
      </c>
      <c r="BU12" s="398"/>
      <c r="BV12" s="398">
        <v>0</v>
      </c>
      <c r="BW12" s="398"/>
      <c r="BX12" s="389">
        <v>6</v>
      </c>
      <c r="BY12" s="389"/>
      <c r="BZ12" s="386">
        <v>6</v>
      </c>
      <c r="CA12" s="387"/>
      <c r="CB12" s="398">
        <v>3</v>
      </c>
      <c r="CC12" s="398"/>
      <c r="CD12" s="379">
        <v>1</v>
      </c>
      <c r="CE12" s="379"/>
      <c r="CF12" s="386">
        <v>4</v>
      </c>
      <c r="CG12" s="394"/>
      <c r="CH12" s="386">
        <v>4</v>
      </c>
      <c r="CI12" s="387"/>
      <c r="CJ12" s="386">
        <v>4</v>
      </c>
      <c r="CK12" s="394"/>
      <c r="CL12" s="395">
        <v>4</v>
      </c>
      <c r="CM12" s="396"/>
      <c r="CN12" s="389">
        <v>7</v>
      </c>
      <c r="CO12" s="389"/>
      <c r="CP12" s="397">
        <v>3</v>
      </c>
      <c r="CQ12" s="397"/>
      <c r="CR12" s="386">
        <v>3</v>
      </c>
      <c r="CS12" s="387"/>
      <c r="CT12" s="386">
        <v>9</v>
      </c>
      <c r="CU12" s="387"/>
      <c r="CV12" s="398">
        <v>0</v>
      </c>
      <c r="CW12" s="398"/>
      <c r="CX12" s="389">
        <v>10</v>
      </c>
      <c r="CY12" s="389"/>
      <c r="CZ12" s="379">
        <v>4</v>
      </c>
      <c r="DA12" s="379"/>
      <c r="DB12" s="379">
        <v>4</v>
      </c>
      <c r="DC12" s="379"/>
      <c r="DD12" s="379">
        <v>0</v>
      </c>
      <c r="DE12" s="379"/>
      <c r="DF12" s="386">
        <f>CV12+CX12+CZ12+DB12+DD12</f>
        <v>18</v>
      </c>
      <c r="DG12" s="390"/>
      <c r="DH12" s="391" t="s">
        <v>14</v>
      </c>
      <c r="DI12" s="391"/>
      <c r="DJ12" s="379" t="s">
        <v>15</v>
      </c>
      <c r="DK12" s="379"/>
    </row>
    <row r="13" spans="1:115" ht="18" x14ac:dyDescent="0.3">
      <c r="A13" s="37"/>
      <c r="D13" s="1"/>
      <c r="F13" s="37"/>
      <c r="G13" s="37"/>
      <c r="H13" s="37"/>
      <c r="I13" s="37"/>
      <c r="J13" s="37"/>
      <c r="K13" s="37"/>
      <c r="L13" s="38"/>
      <c r="M13" s="39"/>
      <c r="N13" s="38"/>
      <c r="O13" s="39"/>
      <c r="P13" s="38"/>
      <c r="Q13" s="39"/>
      <c r="R13" s="38"/>
      <c r="S13" s="39"/>
      <c r="T13" s="40"/>
      <c r="U13" s="39"/>
      <c r="V13" s="41"/>
      <c r="W13" s="39"/>
      <c r="X13" s="41"/>
      <c r="Y13" s="39"/>
      <c r="Z13" s="38"/>
      <c r="AA13" s="39"/>
      <c r="AB13" s="38"/>
      <c r="AC13" s="39"/>
      <c r="AD13" s="42"/>
      <c r="AE13" s="39"/>
      <c r="AF13" s="38"/>
      <c r="AG13" s="39"/>
      <c r="AH13" s="38"/>
      <c r="AI13" s="39"/>
      <c r="AJ13" s="38"/>
      <c r="AK13" s="39"/>
      <c r="AL13" s="38"/>
      <c r="AM13" s="39"/>
      <c r="AN13" s="38"/>
      <c r="AO13" s="39"/>
      <c r="AP13" s="38"/>
      <c r="AQ13" s="39"/>
      <c r="AR13" s="38"/>
      <c r="AS13" s="39"/>
      <c r="AT13" s="38"/>
      <c r="AU13" s="39"/>
      <c r="AV13" s="40"/>
      <c r="AW13" s="39"/>
      <c r="AX13" s="38"/>
      <c r="AY13" s="39"/>
      <c r="AZ13" s="38"/>
      <c r="BA13" s="39"/>
      <c r="BB13" s="38"/>
      <c r="BC13" s="39"/>
      <c r="BD13" s="38"/>
      <c r="BE13" s="39"/>
      <c r="BF13" s="38"/>
      <c r="BG13" s="39"/>
      <c r="BH13" s="38"/>
      <c r="BI13" s="39"/>
      <c r="BJ13" s="38"/>
      <c r="BK13" s="39"/>
      <c r="BL13" s="38"/>
      <c r="BM13" s="39"/>
      <c r="BN13" s="40"/>
      <c r="BO13" s="39"/>
      <c r="BP13" s="43"/>
      <c r="BQ13" s="39"/>
      <c r="BR13" s="37"/>
      <c r="BS13" s="37"/>
      <c r="BT13" s="38"/>
      <c r="BU13" s="39"/>
      <c r="BV13" s="38"/>
      <c r="BW13" s="39"/>
      <c r="BX13" s="42"/>
      <c r="BY13" s="39"/>
      <c r="BZ13" s="38"/>
      <c r="CA13" s="39"/>
      <c r="CB13" s="38"/>
      <c r="CC13" s="39"/>
      <c r="CD13" s="37"/>
      <c r="CE13" s="39"/>
      <c r="CF13" s="38"/>
      <c r="CG13" s="39"/>
      <c r="CH13" s="38"/>
      <c r="CI13" s="39"/>
      <c r="CJ13" s="38"/>
      <c r="CK13" s="39"/>
      <c r="CL13" s="42"/>
      <c r="CM13" s="39"/>
      <c r="CN13" s="39"/>
      <c r="CO13" s="39"/>
      <c r="CP13" s="42"/>
      <c r="CQ13" s="39"/>
      <c r="CR13" s="38"/>
      <c r="CS13" s="39"/>
      <c r="CT13" s="38"/>
      <c r="CU13" s="39"/>
      <c r="CV13" s="38"/>
      <c r="CW13" s="39"/>
      <c r="CX13" s="42"/>
      <c r="CY13" s="39"/>
      <c r="CZ13" s="37"/>
      <c r="DA13" s="37"/>
      <c r="DB13" s="37"/>
      <c r="DC13" s="37"/>
      <c r="DD13" s="37"/>
      <c r="DE13" s="37"/>
      <c r="DF13" s="37"/>
      <c r="DG13" s="37"/>
      <c r="DH13" s="35" t="s">
        <v>16</v>
      </c>
      <c r="DI13" s="44" t="s">
        <v>17</v>
      </c>
      <c r="DJ13" s="35" t="s">
        <v>16</v>
      </c>
      <c r="DK13" s="44" t="s">
        <v>17</v>
      </c>
    </row>
    <row r="14" spans="1:115" ht="18" x14ac:dyDescent="0.3">
      <c r="A14" s="37"/>
      <c r="B14" s="381" t="s">
        <v>18</v>
      </c>
      <c r="C14" s="388"/>
      <c r="D14" s="381" t="s">
        <v>18</v>
      </c>
      <c r="E14" s="388"/>
      <c r="F14" s="381" t="s">
        <v>18</v>
      </c>
      <c r="G14" s="388"/>
      <c r="H14" s="381" t="s">
        <v>19</v>
      </c>
      <c r="I14" s="388"/>
      <c r="J14" s="381" t="s">
        <v>19</v>
      </c>
      <c r="K14" s="388"/>
      <c r="L14" s="381" t="s">
        <v>19</v>
      </c>
      <c r="M14" s="388"/>
      <c r="N14" s="381" t="s">
        <v>19</v>
      </c>
      <c r="O14" s="388"/>
      <c r="P14" s="392" t="s">
        <v>20</v>
      </c>
      <c r="Q14" s="393"/>
      <c r="R14" s="381" t="s">
        <v>20</v>
      </c>
      <c r="S14" s="388"/>
      <c r="T14" s="381" t="s">
        <v>20</v>
      </c>
      <c r="U14" s="388"/>
      <c r="V14" s="381" t="s">
        <v>20</v>
      </c>
      <c r="W14" s="388"/>
      <c r="X14" s="381" t="s">
        <v>21</v>
      </c>
      <c r="Y14" s="388"/>
      <c r="Z14" s="381" t="s">
        <v>21</v>
      </c>
      <c r="AA14" s="388"/>
      <c r="AB14" s="381" t="s">
        <v>21</v>
      </c>
      <c r="AC14" s="388"/>
      <c r="AD14" s="381" t="s">
        <v>21</v>
      </c>
      <c r="AE14" s="388"/>
      <c r="AF14" s="381" t="s">
        <v>22</v>
      </c>
      <c r="AG14" s="388"/>
      <c r="AH14" s="381" t="s">
        <v>22</v>
      </c>
      <c r="AI14" s="388"/>
      <c r="AJ14" s="381" t="s">
        <v>23</v>
      </c>
      <c r="AK14" s="388"/>
      <c r="AL14" s="381" t="s">
        <v>23</v>
      </c>
      <c r="AM14" s="388"/>
      <c r="AN14" s="381" t="s">
        <v>24</v>
      </c>
      <c r="AO14" s="388"/>
      <c r="AP14" s="381" t="s">
        <v>25</v>
      </c>
      <c r="AQ14" s="388"/>
      <c r="AR14" s="381" t="s">
        <v>25</v>
      </c>
      <c r="AS14" s="388"/>
      <c r="AT14" s="381" t="s">
        <v>26</v>
      </c>
      <c r="AU14" s="388"/>
      <c r="AV14" s="381" t="s">
        <v>25</v>
      </c>
      <c r="AW14" s="388"/>
      <c r="AX14" s="381" t="s">
        <v>25</v>
      </c>
      <c r="AY14" s="388"/>
      <c r="AZ14" s="381" t="s">
        <v>27</v>
      </c>
      <c r="BA14" s="388"/>
      <c r="BB14" s="381" t="s">
        <v>27</v>
      </c>
      <c r="BC14" s="388"/>
      <c r="BD14" s="381" t="s">
        <v>27</v>
      </c>
      <c r="BE14" s="388"/>
      <c r="BF14" s="381" t="s">
        <v>27</v>
      </c>
      <c r="BG14" s="388"/>
      <c r="BH14" s="381" t="s">
        <v>27</v>
      </c>
      <c r="BI14" s="388"/>
      <c r="BJ14" s="381" t="s">
        <v>28</v>
      </c>
      <c r="BK14" s="388"/>
      <c r="BL14" s="381" t="s">
        <v>28</v>
      </c>
      <c r="BM14" s="388"/>
      <c r="BN14" s="381" t="s">
        <v>28</v>
      </c>
      <c r="BO14" s="388"/>
      <c r="BP14" s="381" t="s">
        <v>28</v>
      </c>
      <c r="BQ14" s="388"/>
      <c r="BR14" s="381" t="s">
        <v>28</v>
      </c>
      <c r="BS14" s="388"/>
      <c r="BT14" s="381" t="s">
        <v>29</v>
      </c>
      <c r="BU14" s="388"/>
      <c r="BV14" s="381" t="s">
        <v>29</v>
      </c>
      <c r="BW14" s="388"/>
      <c r="BX14" s="381" t="s">
        <v>29</v>
      </c>
      <c r="BY14" s="388"/>
      <c r="BZ14" s="381" t="s">
        <v>29</v>
      </c>
      <c r="CA14" s="388"/>
      <c r="CB14" s="381" t="s">
        <v>30</v>
      </c>
      <c r="CC14" s="388"/>
      <c r="CD14" s="381" t="s">
        <v>30</v>
      </c>
      <c r="CE14" s="388"/>
      <c r="CF14" s="381" t="s">
        <v>30</v>
      </c>
      <c r="CG14" s="388"/>
      <c r="CH14" s="381" t="s">
        <v>30</v>
      </c>
      <c r="CI14" s="388"/>
      <c r="CJ14" s="381" t="s">
        <v>30</v>
      </c>
      <c r="CK14" s="388"/>
      <c r="CL14" s="381" t="s">
        <v>31</v>
      </c>
      <c r="CM14" s="388"/>
      <c r="CN14" s="381" t="s">
        <v>31</v>
      </c>
      <c r="CO14" s="388"/>
      <c r="CP14" s="381" t="s">
        <v>31</v>
      </c>
      <c r="CQ14" s="388"/>
      <c r="CR14" s="381" t="s">
        <v>31</v>
      </c>
      <c r="CS14" s="388"/>
      <c r="CT14" s="379" t="s">
        <v>31</v>
      </c>
      <c r="CU14" s="379"/>
      <c r="CV14" s="386" t="s">
        <v>32</v>
      </c>
      <c r="CW14" s="387"/>
      <c r="CX14" s="386" t="s">
        <v>32</v>
      </c>
      <c r="CY14" s="387"/>
      <c r="CZ14" s="386" t="s">
        <v>32</v>
      </c>
      <c r="DA14" s="387"/>
      <c r="DB14" s="386" t="s">
        <v>32</v>
      </c>
      <c r="DC14" s="387"/>
      <c r="DD14" s="386" t="s">
        <v>32</v>
      </c>
      <c r="DE14" s="387"/>
      <c r="DF14" s="386" t="s">
        <v>32</v>
      </c>
      <c r="DG14" s="387"/>
      <c r="DH14" s="34">
        <v>56</v>
      </c>
      <c r="DI14" s="44">
        <v>136592</v>
      </c>
      <c r="DJ14" s="34">
        <v>511</v>
      </c>
      <c r="DK14" s="44">
        <v>1308481.8899999999</v>
      </c>
    </row>
    <row r="15" spans="1:115" ht="18" x14ac:dyDescent="0.35">
      <c r="A15" s="37"/>
      <c r="B15" s="383" t="s">
        <v>33</v>
      </c>
      <c r="C15" s="383"/>
      <c r="D15" s="383" t="s">
        <v>34</v>
      </c>
      <c r="E15" s="383"/>
      <c r="F15" s="381" t="s">
        <v>35</v>
      </c>
      <c r="G15" s="388"/>
      <c r="H15" s="381" t="s">
        <v>36</v>
      </c>
      <c r="I15" s="388"/>
      <c r="J15" s="381" t="s">
        <v>37</v>
      </c>
      <c r="K15" s="388"/>
      <c r="L15" s="381" t="s">
        <v>38</v>
      </c>
      <c r="M15" s="388"/>
      <c r="N15" s="381" t="s">
        <v>39</v>
      </c>
      <c r="O15" s="388"/>
      <c r="P15" s="383" t="s">
        <v>40</v>
      </c>
      <c r="Q15" s="383"/>
      <c r="R15" s="383" t="s">
        <v>41</v>
      </c>
      <c r="S15" s="383"/>
      <c r="T15" s="383" t="s">
        <v>42</v>
      </c>
      <c r="U15" s="383"/>
      <c r="V15" s="383" t="s">
        <v>43</v>
      </c>
      <c r="W15" s="383"/>
      <c r="X15" s="383" t="s">
        <v>44</v>
      </c>
      <c r="Y15" s="383"/>
      <c r="Z15" s="383" t="s">
        <v>45</v>
      </c>
      <c r="AA15" s="383"/>
      <c r="AB15" s="383" t="s">
        <v>46</v>
      </c>
      <c r="AC15" s="383"/>
      <c r="AD15" s="383" t="s">
        <v>47</v>
      </c>
      <c r="AE15" s="383"/>
      <c r="AF15" s="383" t="s">
        <v>48</v>
      </c>
      <c r="AG15" s="383"/>
      <c r="AH15" s="383" t="s">
        <v>49</v>
      </c>
      <c r="AI15" s="383"/>
      <c r="AJ15" s="383" t="s">
        <v>50</v>
      </c>
      <c r="AK15" s="383"/>
      <c r="AL15" s="384" t="s">
        <v>51</v>
      </c>
      <c r="AM15" s="385"/>
      <c r="AN15" s="384" t="s">
        <v>52</v>
      </c>
      <c r="AO15" s="385"/>
      <c r="AP15" s="384" t="s">
        <v>53</v>
      </c>
      <c r="AQ15" s="385"/>
      <c r="AR15" s="383" t="s">
        <v>54</v>
      </c>
      <c r="AS15" s="383"/>
      <c r="AT15" s="383" t="s">
        <v>55</v>
      </c>
      <c r="AU15" s="383"/>
      <c r="AV15" s="383" t="s">
        <v>56</v>
      </c>
      <c r="AW15" s="383"/>
      <c r="AX15" s="383" t="s">
        <v>57</v>
      </c>
      <c r="AY15" s="383"/>
      <c r="AZ15" s="383" t="s">
        <v>58</v>
      </c>
      <c r="BA15" s="383"/>
      <c r="BB15" s="383" t="s">
        <v>59</v>
      </c>
      <c r="BC15" s="383"/>
      <c r="BD15" s="383" t="s">
        <v>60</v>
      </c>
      <c r="BE15" s="383"/>
      <c r="BF15" s="383" t="s">
        <v>61</v>
      </c>
      <c r="BG15" s="383"/>
      <c r="BH15" s="383" t="s">
        <v>62</v>
      </c>
      <c r="BI15" s="383"/>
      <c r="BJ15" s="383" t="s">
        <v>63</v>
      </c>
      <c r="BK15" s="383"/>
      <c r="BL15" s="379" t="s">
        <v>64</v>
      </c>
      <c r="BM15" s="379"/>
      <c r="BN15" s="383" t="s">
        <v>65</v>
      </c>
      <c r="BO15" s="383"/>
      <c r="BP15" s="383" t="s">
        <v>66</v>
      </c>
      <c r="BQ15" s="383"/>
      <c r="BR15" s="383" t="s">
        <v>67</v>
      </c>
      <c r="BS15" s="383"/>
      <c r="BT15" s="383" t="s">
        <v>68</v>
      </c>
      <c r="BU15" s="383"/>
      <c r="BV15" s="383" t="s">
        <v>69</v>
      </c>
      <c r="BW15" s="383"/>
      <c r="BX15" s="383" t="s">
        <v>70</v>
      </c>
      <c r="BY15" s="383"/>
      <c r="BZ15" s="383" t="s">
        <v>71</v>
      </c>
      <c r="CA15" s="383"/>
      <c r="CB15" s="383" t="s">
        <v>72</v>
      </c>
      <c r="CC15" s="383"/>
      <c r="CD15" s="383" t="s">
        <v>73</v>
      </c>
      <c r="CE15" s="383"/>
      <c r="CF15" s="383" t="s">
        <v>74</v>
      </c>
      <c r="CG15" s="383"/>
      <c r="CH15" s="383" t="s">
        <v>75</v>
      </c>
      <c r="CI15" s="383"/>
      <c r="CJ15" s="383" t="s">
        <v>72</v>
      </c>
      <c r="CK15" s="383"/>
      <c r="CL15" s="383" t="s">
        <v>76</v>
      </c>
      <c r="CM15" s="383"/>
      <c r="CN15" s="384" t="s">
        <v>77</v>
      </c>
      <c r="CO15" s="385"/>
      <c r="CP15" s="384" t="s">
        <v>78</v>
      </c>
      <c r="CQ15" s="385"/>
      <c r="CR15" s="379" t="s">
        <v>79</v>
      </c>
      <c r="CS15" s="379"/>
      <c r="CT15" s="379" t="s">
        <v>80</v>
      </c>
      <c r="CU15" s="379"/>
      <c r="CV15" s="379" t="s">
        <v>81</v>
      </c>
      <c r="CW15" s="379"/>
      <c r="CX15" s="379" t="s">
        <v>82</v>
      </c>
      <c r="CY15" s="379"/>
      <c r="CZ15" s="380" t="s">
        <v>83</v>
      </c>
      <c r="DA15" s="380"/>
      <c r="DB15" s="380" t="s">
        <v>84</v>
      </c>
      <c r="DC15" s="380"/>
      <c r="DD15" s="380" t="s">
        <v>85</v>
      </c>
      <c r="DE15" s="380"/>
      <c r="DF15" s="380" t="s">
        <v>86</v>
      </c>
      <c r="DG15" s="380"/>
      <c r="DH15" s="34">
        <f>CV21+CX21+CZ21+DB21+DD21</f>
        <v>64</v>
      </c>
      <c r="DI15" s="44">
        <f>CW21+CY21+DA21+DC21+DE21</f>
        <v>107592</v>
      </c>
      <c r="DJ15" s="34">
        <f>DH21</f>
        <v>478</v>
      </c>
      <c r="DK15" s="44">
        <f>DI21</f>
        <v>836166</v>
      </c>
    </row>
    <row r="16" spans="1:115" ht="18" x14ac:dyDescent="0.3">
      <c r="A16" s="381" t="s">
        <v>87</v>
      </c>
      <c r="B16" s="382"/>
      <c r="C16" s="382"/>
      <c r="D16" s="382"/>
      <c r="E16" s="382"/>
      <c r="F16" s="382"/>
      <c r="G16" s="382"/>
      <c r="H16" s="382"/>
      <c r="I16" s="382"/>
      <c r="J16" s="382"/>
      <c r="K16" s="382"/>
      <c r="L16" s="382"/>
      <c r="M16" s="382"/>
      <c r="N16" s="382"/>
      <c r="O16" s="382"/>
      <c r="P16" s="382"/>
      <c r="Q16" s="382"/>
      <c r="R16" s="382"/>
      <c r="S16" s="382"/>
      <c r="T16" s="382"/>
      <c r="U16" s="382"/>
      <c r="V16" s="382"/>
      <c r="W16" s="382"/>
      <c r="X16" s="382"/>
      <c r="Y16" s="382"/>
      <c r="Z16" s="382"/>
      <c r="AA16" s="382"/>
      <c r="AB16" s="36"/>
      <c r="AC16" s="46"/>
      <c r="AD16" s="47"/>
      <c r="AE16" s="46"/>
      <c r="AF16" s="36"/>
      <c r="AG16" s="46"/>
      <c r="AH16" s="36"/>
      <c r="AI16" s="46"/>
      <c r="AJ16" s="36"/>
      <c r="AK16" s="46"/>
      <c r="AL16" s="36"/>
      <c r="AM16" s="46"/>
      <c r="AN16" s="36"/>
      <c r="AO16" s="46"/>
      <c r="AP16" s="36"/>
      <c r="AQ16" s="46"/>
      <c r="AR16" s="36"/>
      <c r="AS16" s="46"/>
      <c r="AT16" s="36"/>
      <c r="AU16" s="46"/>
      <c r="AV16" s="48"/>
      <c r="AW16" s="46"/>
      <c r="AX16" s="36"/>
      <c r="AY16" s="46"/>
      <c r="AZ16" s="36"/>
      <c r="BA16" s="46"/>
      <c r="BB16" s="36"/>
      <c r="BC16" s="46"/>
      <c r="BD16" s="36"/>
      <c r="BE16" s="46"/>
      <c r="BF16" s="36"/>
      <c r="BG16" s="46"/>
      <c r="BH16" s="36"/>
      <c r="BI16" s="46"/>
      <c r="BJ16" s="36"/>
      <c r="BK16" s="46"/>
      <c r="BL16" s="36"/>
      <c r="BM16" s="46"/>
      <c r="BN16" s="48"/>
      <c r="BO16" s="46"/>
      <c r="BP16" s="49"/>
      <c r="BQ16" s="46"/>
      <c r="BR16" s="45"/>
      <c r="BS16" s="45"/>
      <c r="BT16" s="36"/>
      <c r="BU16" s="46"/>
      <c r="BV16" s="36"/>
      <c r="BW16" s="46"/>
      <c r="BX16" s="47"/>
      <c r="BY16" s="46"/>
      <c r="BZ16" s="36"/>
      <c r="CA16" s="46"/>
      <c r="CB16" s="36"/>
      <c r="CC16" s="46"/>
      <c r="CD16" s="45"/>
      <c r="CE16" s="46"/>
      <c r="CF16" s="36"/>
      <c r="CG16" s="46"/>
      <c r="CH16" s="36"/>
      <c r="CI16" s="46"/>
      <c r="CJ16" s="50"/>
      <c r="CK16" s="51"/>
      <c r="CL16" s="47"/>
      <c r="CM16" s="46"/>
      <c r="CN16" s="46"/>
      <c r="CO16" s="46"/>
      <c r="CP16" s="47"/>
      <c r="CQ16" s="52"/>
      <c r="CR16" s="38"/>
      <c r="CS16" s="39"/>
      <c r="CT16" s="38"/>
      <c r="CU16" s="39"/>
      <c r="CV16" s="38"/>
      <c r="CW16" s="39"/>
      <c r="CX16" s="42"/>
      <c r="CY16" s="39"/>
      <c r="CZ16" s="37"/>
      <c r="DA16" s="37"/>
      <c r="DB16" s="37"/>
      <c r="DC16" s="37"/>
      <c r="DD16" s="37"/>
      <c r="DE16" s="37"/>
      <c r="DF16" s="37"/>
      <c r="DG16" s="37"/>
      <c r="DH16" s="53">
        <f>DH15/DH14</f>
        <v>1.1428571428571428</v>
      </c>
      <c r="DI16" s="53">
        <f>DI15/DI14</f>
        <v>0.78768888368279255</v>
      </c>
      <c r="DJ16" s="53">
        <f>DJ15/DJ14</f>
        <v>0.93542074363992167</v>
      </c>
      <c r="DK16" s="53">
        <f>DK15/DK14</f>
        <v>0.63903521049114409</v>
      </c>
    </row>
    <row r="17" spans="1:117" ht="11.25" customHeight="1" x14ac:dyDescent="0.3">
      <c r="AD17" s="42"/>
      <c r="AE17" s="39"/>
      <c r="AF17" s="38"/>
      <c r="AG17" s="39"/>
      <c r="AH17" s="38"/>
      <c r="AI17" s="39"/>
      <c r="AJ17" s="38"/>
      <c r="AK17" s="39"/>
      <c r="AL17" s="38"/>
      <c r="AM17" s="39"/>
      <c r="AN17" s="38"/>
      <c r="AO17" s="39"/>
      <c r="AP17" s="38"/>
      <c r="AQ17" s="39"/>
      <c r="AR17" s="38"/>
      <c r="AS17" s="39"/>
      <c r="AT17" s="38"/>
      <c r="AU17" s="39"/>
      <c r="AV17" s="40"/>
      <c r="AW17" s="39"/>
      <c r="AX17" s="38"/>
      <c r="AY17" s="39"/>
      <c r="AZ17" s="38"/>
      <c r="BA17" s="39"/>
      <c r="BB17" s="38"/>
      <c r="BC17" s="39"/>
      <c r="BD17" s="38"/>
      <c r="BE17" s="39"/>
      <c r="BF17" s="38"/>
      <c r="BG17" s="39"/>
      <c r="BH17" s="38"/>
      <c r="BI17" s="39"/>
      <c r="BJ17" s="38"/>
      <c r="BK17" s="39"/>
      <c r="BL17" s="38"/>
      <c r="BM17" s="39"/>
      <c r="BN17" s="40"/>
      <c r="BO17" s="39"/>
      <c r="BP17" s="43"/>
      <c r="BQ17" s="39"/>
      <c r="BR17" s="37"/>
      <c r="BS17" s="37"/>
      <c r="BT17" s="38"/>
      <c r="BU17" s="39"/>
      <c r="BV17" s="38"/>
      <c r="BW17" s="39"/>
      <c r="BX17" s="42"/>
      <c r="BY17" s="39"/>
      <c r="BZ17" s="38"/>
      <c r="CA17" s="39"/>
      <c r="CB17" s="38"/>
      <c r="CC17" s="39"/>
      <c r="CD17" s="37"/>
      <c r="CE17" s="39"/>
      <c r="CF17" s="38"/>
      <c r="CG17" s="39"/>
      <c r="CH17" s="38"/>
      <c r="CI17" s="39"/>
      <c r="CJ17" s="38"/>
      <c r="CK17" s="39"/>
      <c r="CL17" s="42"/>
      <c r="CM17" s="39"/>
      <c r="CN17" s="39"/>
      <c r="CO17" s="39"/>
      <c r="CP17" s="42"/>
      <c r="CQ17" s="39"/>
      <c r="CR17" s="38"/>
      <c r="CS17" s="39"/>
      <c r="CT17" s="38"/>
      <c r="CU17" s="39"/>
      <c r="CV17" s="38"/>
      <c r="CW17" s="39"/>
      <c r="CX17" s="42"/>
      <c r="CY17" s="39"/>
      <c r="CZ17" s="37"/>
      <c r="DA17" s="37"/>
      <c r="DB17" s="37"/>
      <c r="DC17" s="37"/>
      <c r="DD17" s="37"/>
      <c r="DE17" s="37"/>
      <c r="DF17" s="37"/>
      <c r="DG17" s="37"/>
      <c r="DH17" s="37"/>
      <c r="DI17" s="39"/>
      <c r="DJ17" s="37"/>
      <c r="DK17" s="39"/>
    </row>
    <row r="18" spans="1:117" x14ac:dyDescent="0.3">
      <c r="A18" s="54" t="s">
        <v>88</v>
      </c>
      <c r="B18" s="373">
        <v>1</v>
      </c>
      <c r="C18" s="374"/>
      <c r="D18" s="373">
        <v>2</v>
      </c>
      <c r="E18" s="374"/>
      <c r="F18" s="373">
        <v>3</v>
      </c>
      <c r="G18" s="374"/>
      <c r="H18" s="373">
        <v>4</v>
      </c>
      <c r="I18" s="374"/>
      <c r="J18" s="373">
        <v>5</v>
      </c>
      <c r="K18" s="374"/>
      <c r="L18" s="373">
        <v>6</v>
      </c>
      <c r="M18" s="374"/>
      <c r="N18" s="373">
        <v>7</v>
      </c>
      <c r="O18" s="374"/>
      <c r="P18" s="373">
        <v>8</v>
      </c>
      <c r="Q18" s="374"/>
      <c r="R18" s="373">
        <v>9</v>
      </c>
      <c r="S18" s="374"/>
      <c r="T18" s="373">
        <v>10</v>
      </c>
      <c r="U18" s="374"/>
      <c r="V18" s="373">
        <v>11</v>
      </c>
      <c r="W18" s="374"/>
      <c r="X18" s="373">
        <v>12</v>
      </c>
      <c r="Y18" s="374"/>
      <c r="Z18" s="373">
        <v>13</v>
      </c>
      <c r="AA18" s="374"/>
      <c r="AB18" s="373">
        <v>14</v>
      </c>
      <c r="AC18" s="374"/>
      <c r="AD18" s="373">
        <v>15</v>
      </c>
      <c r="AE18" s="374"/>
      <c r="AF18" s="373">
        <v>16</v>
      </c>
      <c r="AG18" s="374"/>
      <c r="AH18" s="373">
        <v>16</v>
      </c>
      <c r="AI18" s="374"/>
      <c r="AJ18" s="373">
        <v>17</v>
      </c>
      <c r="AK18" s="374"/>
      <c r="AL18" s="373">
        <v>18</v>
      </c>
      <c r="AM18" s="374"/>
      <c r="AN18" s="373">
        <v>19</v>
      </c>
      <c r="AO18" s="374"/>
      <c r="AP18" s="373">
        <v>20</v>
      </c>
      <c r="AQ18" s="374"/>
      <c r="AR18" s="373">
        <v>21</v>
      </c>
      <c r="AS18" s="374"/>
      <c r="AT18" s="373">
        <v>22</v>
      </c>
      <c r="AU18" s="374"/>
      <c r="AV18" s="373">
        <v>23</v>
      </c>
      <c r="AW18" s="374"/>
      <c r="AX18" s="373">
        <v>24</v>
      </c>
      <c r="AY18" s="374"/>
      <c r="AZ18" s="373">
        <v>25</v>
      </c>
      <c r="BA18" s="374"/>
      <c r="BB18" s="373">
        <v>26</v>
      </c>
      <c r="BC18" s="374"/>
      <c r="BD18" s="373">
        <v>27</v>
      </c>
      <c r="BE18" s="374"/>
      <c r="BF18" s="373">
        <v>28</v>
      </c>
      <c r="BG18" s="374"/>
      <c r="BH18" s="373">
        <v>29</v>
      </c>
      <c r="BI18" s="374"/>
      <c r="BJ18" s="373">
        <v>30</v>
      </c>
      <c r="BK18" s="374"/>
      <c r="BL18" s="373">
        <v>32</v>
      </c>
      <c r="BM18" s="374"/>
      <c r="BN18" s="373">
        <v>33</v>
      </c>
      <c r="BO18" s="374"/>
      <c r="BP18" s="373">
        <v>33</v>
      </c>
      <c r="BQ18" s="374"/>
      <c r="BR18" s="373">
        <v>34</v>
      </c>
      <c r="BS18" s="374"/>
      <c r="BT18" s="373">
        <v>35</v>
      </c>
      <c r="BU18" s="374"/>
      <c r="BV18" s="373">
        <v>35</v>
      </c>
      <c r="BW18" s="374"/>
      <c r="BX18" s="373">
        <v>38</v>
      </c>
      <c r="BY18" s="374"/>
      <c r="BZ18" s="373">
        <v>37</v>
      </c>
      <c r="CA18" s="374"/>
      <c r="CB18" s="373">
        <v>38</v>
      </c>
      <c r="CC18" s="374"/>
      <c r="CD18" s="373">
        <v>39</v>
      </c>
      <c r="CE18" s="374"/>
      <c r="CF18" s="373">
        <v>40</v>
      </c>
      <c r="CG18" s="374"/>
      <c r="CH18" s="373">
        <v>41</v>
      </c>
      <c r="CI18" s="374"/>
      <c r="CJ18" s="373">
        <v>42</v>
      </c>
      <c r="CK18" s="374"/>
      <c r="CL18" s="373">
        <v>43</v>
      </c>
      <c r="CM18" s="374"/>
      <c r="CN18" s="373">
        <v>44</v>
      </c>
      <c r="CO18" s="374"/>
      <c r="CP18" s="373">
        <v>45</v>
      </c>
      <c r="CQ18" s="374"/>
      <c r="CR18" s="373">
        <v>46</v>
      </c>
      <c r="CS18" s="374"/>
      <c r="CT18" s="373">
        <v>47</v>
      </c>
      <c r="CU18" s="374"/>
      <c r="CV18" s="373"/>
      <c r="CW18" s="374"/>
      <c r="CX18" s="377">
        <v>48</v>
      </c>
      <c r="CY18" s="378"/>
      <c r="CZ18" s="377">
        <v>49</v>
      </c>
      <c r="DA18" s="378"/>
      <c r="DB18" s="373">
        <v>50</v>
      </c>
      <c r="DC18" s="374"/>
      <c r="DD18" s="373">
        <v>51</v>
      </c>
      <c r="DE18" s="374"/>
      <c r="DF18" s="373"/>
      <c r="DG18" s="374"/>
      <c r="DH18" s="373"/>
      <c r="DI18" s="374"/>
      <c r="DJ18" s="373"/>
      <c r="DK18" s="374"/>
    </row>
    <row r="19" spans="1:117" ht="62.25" customHeight="1" x14ac:dyDescent="0.3">
      <c r="A19" s="375"/>
      <c r="B19" s="348" t="s">
        <v>89</v>
      </c>
      <c r="C19" s="349"/>
      <c r="D19" s="348" t="s">
        <v>90</v>
      </c>
      <c r="E19" s="349"/>
      <c r="F19" s="348" t="s">
        <v>91</v>
      </c>
      <c r="G19" s="349"/>
      <c r="H19" s="348" t="s">
        <v>92</v>
      </c>
      <c r="I19" s="349"/>
      <c r="J19" s="348" t="s">
        <v>93</v>
      </c>
      <c r="K19" s="349"/>
      <c r="L19" s="348" t="s">
        <v>94</v>
      </c>
      <c r="M19" s="349"/>
      <c r="N19" s="348" t="s">
        <v>95</v>
      </c>
      <c r="O19" s="349"/>
      <c r="P19" s="348" t="s">
        <v>96</v>
      </c>
      <c r="Q19" s="349"/>
      <c r="R19" s="348" t="s">
        <v>97</v>
      </c>
      <c r="S19" s="349"/>
      <c r="T19" s="348" t="s">
        <v>98</v>
      </c>
      <c r="U19" s="349"/>
      <c r="V19" s="348" t="s">
        <v>99</v>
      </c>
      <c r="W19" s="349"/>
      <c r="X19" s="348" t="s">
        <v>100</v>
      </c>
      <c r="Y19" s="349"/>
      <c r="Z19" s="348" t="s">
        <v>101</v>
      </c>
      <c r="AA19" s="349"/>
      <c r="AB19" s="348" t="s">
        <v>102</v>
      </c>
      <c r="AC19" s="349"/>
      <c r="AD19" s="348" t="s">
        <v>103</v>
      </c>
      <c r="AE19" s="349"/>
      <c r="AF19" s="348" t="s">
        <v>104</v>
      </c>
      <c r="AG19" s="349"/>
      <c r="AH19" s="348" t="s">
        <v>105</v>
      </c>
      <c r="AI19" s="349"/>
      <c r="AJ19" s="348" t="s">
        <v>106</v>
      </c>
      <c r="AK19" s="349"/>
      <c r="AL19" s="348" t="s">
        <v>107</v>
      </c>
      <c r="AM19" s="349"/>
      <c r="AN19" s="348" t="s">
        <v>108</v>
      </c>
      <c r="AO19" s="349"/>
      <c r="AP19" s="348" t="s">
        <v>109</v>
      </c>
      <c r="AQ19" s="349"/>
      <c r="AR19" s="348" t="s">
        <v>110</v>
      </c>
      <c r="AS19" s="349"/>
      <c r="AT19" s="348" t="s">
        <v>111</v>
      </c>
      <c r="AU19" s="349"/>
      <c r="AV19" s="348" t="s">
        <v>112</v>
      </c>
      <c r="AW19" s="349"/>
      <c r="AX19" s="348" t="s">
        <v>113</v>
      </c>
      <c r="AY19" s="349"/>
      <c r="AZ19" s="348" t="s">
        <v>114</v>
      </c>
      <c r="BA19" s="349"/>
      <c r="BB19" s="348" t="s">
        <v>115</v>
      </c>
      <c r="BC19" s="349"/>
      <c r="BD19" s="348" t="s">
        <v>116</v>
      </c>
      <c r="BE19" s="349"/>
      <c r="BF19" s="348" t="s">
        <v>117</v>
      </c>
      <c r="BG19" s="349"/>
      <c r="BH19" s="348" t="s">
        <v>118</v>
      </c>
      <c r="BI19" s="349"/>
      <c r="BJ19" s="348" t="s">
        <v>119</v>
      </c>
      <c r="BK19" s="349"/>
      <c r="BL19" s="348" t="s">
        <v>120</v>
      </c>
      <c r="BM19" s="349"/>
      <c r="BN19" s="348" t="s">
        <v>121</v>
      </c>
      <c r="BO19" s="349"/>
      <c r="BP19" s="348" t="s">
        <v>122</v>
      </c>
      <c r="BQ19" s="349"/>
      <c r="BR19" s="348" t="s">
        <v>123</v>
      </c>
      <c r="BS19" s="349"/>
      <c r="BT19" s="348" t="s">
        <v>124</v>
      </c>
      <c r="BU19" s="349"/>
      <c r="BV19" s="348" t="s">
        <v>125</v>
      </c>
      <c r="BW19" s="349"/>
      <c r="BX19" s="348" t="s">
        <v>126</v>
      </c>
      <c r="BY19" s="349"/>
      <c r="BZ19" s="348" t="s">
        <v>127</v>
      </c>
      <c r="CA19" s="349"/>
      <c r="CB19" s="348" t="s">
        <v>128</v>
      </c>
      <c r="CC19" s="349"/>
      <c r="CD19" s="348" t="s">
        <v>129</v>
      </c>
      <c r="CE19" s="349"/>
      <c r="CF19" s="348" t="s">
        <v>130</v>
      </c>
      <c r="CG19" s="349"/>
      <c r="CH19" s="348" t="s">
        <v>131</v>
      </c>
      <c r="CI19" s="349"/>
      <c r="CJ19" s="348" t="s">
        <v>132</v>
      </c>
      <c r="CK19" s="349"/>
      <c r="CL19" s="348" t="s">
        <v>133</v>
      </c>
      <c r="CM19" s="349"/>
      <c r="CN19" s="348" t="s">
        <v>134</v>
      </c>
      <c r="CO19" s="349"/>
      <c r="CP19" s="348" t="s">
        <v>135</v>
      </c>
      <c r="CQ19" s="349"/>
      <c r="CR19" s="348" t="s">
        <v>136</v>
      </c>
      <c r="CS19" s="349"/>
      <c r="CT19" s="348" t="s">
        <v>137</v>
      </c>
      <c r="CU19" s="349"/>
      <c r="CV19" s="348" t="s">
        <v>138</v>
      </c>
      <c r="CW19" s="349"/>
      <c r="CX19" s="348" t="s">
        <v>139</v>
      </c>
      <c r="CY19" s="349"/>
      <c r="CZ19" s="348" t="s">
        <v>140</v>
      </c>
      <c r="DA19" s="349"/>
      <c r="DB19" s="348" t="s">
        <v>141</v>
      </c>
      <c r="DC19" s="349"/>
      <c r="DD19" s="348" t="s">
        <v>142</v>
      </c>
      <c r="DE19" s="349"/>
      <c r="DF19" s="348" t="s">
        <v>143</v>
      </c>
      <c r="DG19" s="372"/>
      <c r="DH19" s="348" t="s">
        <v>144</v>
      </c>
      <c r="DI19" s="349"/>
      <c r="DJ19" s="368" t="s">
        <v>145</v>
      </c>
      <c r="DK19" s="369"/>
    </row>
    <row r="20" spans="1:117" ht="29.25" customHeight="1" x14ac:dyDescent="0.3">
      <c r="A20" s="376"/>
      <c r="B20" s="56" t="s">
        <v>16</v>
      </c>
      <c r="C20" s="57" t="s">
        <v>17</v>
      </c>
      <c r="D20" s="58" t="s">
        <v>16</v>
      </c>
      <c r="E20" s="57" t="s">
        <v>17</v>
      </c>
      <c r="F20" s="59" t="s">
        <v>16</v>
      </c>
      <c r="G20" s="57" t="s">
        <v>17</v>
      </c>
      <c r="H20" s="59" t="s">
        <v>16</v>
      </c>
      <c r="I20" s="57" t="s">
        <v>17</v>
      </c>
      <c r="J20" s="59" t="s">
        <v>16</v>
      </c>
      <c r="K20" s="57" t="s">
        <v>17</v>
      </c>
      <c r="L20" s="59" t="s">
        <v>16</v>
      </c>
      <c r="M20" s="57" t="s">
        <v>17</v>
      </c>
      <c r="N20" s="59" t="s">
        <v>16</v>
      </c>
      <c r="O20" s="57" t="s">
        <v>17</v>
      </c>
      <c r="P20" s="59" t="s">
        <v>16</v>
      </c>
      <c r="Q20" s="57" t="s">
        <v>17</v>
      </c>
      <c r="R20" s="59" t="s">
        <v>16</v>
      </c>
      <c r="S20" s="57" t="s">
        <v>17</v>
      </c>
      <c r="T20" s="60" t="s">
        <v>16</v>
      </c>
      <c r="U20" s="61" t="s">
        <v>17</v>
      </c>
      <c r="V20" s="58" t="s">
        <v>16</v>
      </c>
      <c r="W20" s="61" t="s">
        <v>17</v>
      </c>
      <c r="X20" s="62" t="s">
        <v>16</v>
      </c>
      <c r="Y20" s="57" t="s">
        <v>17</v>
      </c>
      <c r="Z20" s="59" t="s">
        <v>16</v>
      </c>
      <c r="AA20" s="57" t="s">
        <v>17</v>
      </c>
      <c r="AB20" s="59" t="s">
        <v>16</v>
      </c>
      <c r="AC20" s="57" t="s">
        <v>17</v>
      </c>
      <c r="AD20" s="63" t="s">
        <v>16</v>
      </c>
      <c r="AE20" s="57" t="s">
        <v>17</v>
      </c>
      <c r="AF20" s="59" t="s">
        <v>16</v>
      </c>
      <c r="AG20" s="57" t="s">
        <v>17</v>
      </c>
      <c r="AH20" s="59" t="s">
        <v>16</v>
      </c>
      <c r="AI20" s="57" t="s">
        <v>17</v>
      </c>
      <c r="AJ20" s="59" t="s">
        <v>16</v>
      </c>
      <c r="AK20" s="57" t="s">
        <v>17</v>
      </c>
      <c r="AL20" s="59" t="s">
        <v>16</v>
      </c>
      <c r="AM20" s="57" t="s">
        <v>17</v>
      </c>
      <c r="AN20" s="59" t="s">
        <v>16</v>
      </c>
      <c r="AO20" s="57" t="s">
        <v>17</v>
      </c>
      <c r="AP20" s="64" t="s">
        <v>16</v>
      </c>
      <c r="AQ20" s="61" t="s">
        <v>17</v>
      </c>
      <c r="AR20" s="59" t="s">
        <v>16</v>
      </c>
      <c r="AS20" s="57" t="s">
        <v>17</v>
      </c>
      <c r="AT20" s="59" t="s">
        <v>16</v>
      </c>
      <c r="AU20" s="57" t="s">
        <v>17</v>
      </c>
      <c r="AV20" s="65" t="s">
        <v>16</v>
      </c>
      <c r="AW20" s="57" t="s">
        <v>17</v>
      </c>
      <c r="AX20" s="59" t="s">
        <v>16</v>
      </c>
      <c r="AY20" s="57" t="s">
        <v>17</v>
      </c>
      <c r="AZ20" s="59" t="s">
        <v>16</v>
      </c>
      <c r="BA20" s="57" t="s">
        <v>17</v>
      </c>
      <c r="BB20" s="59" t="s">
        <v>16</v>
      </c>
      <c r="BC20" s="57" t="s">
        <v>17</v>
      </c>
      <c r="BD20" s="59" t="s">
        <v>16</v>
      </c>
      <c r="BE20" s="57" t="s">
        <v>17</v>
      </c>
      <c r="BF20" s="64" t="s">
        <v>16</v>
      </c>
      <c r="BG20" s="61" t="s">
        <v>17</v>
      </c>
      <c r="BH20" s="64" t="s">
        <v>16</v>
      </c>
      <c r="BI20" s="57" t="s">
        <v>17</v>
      </c>
      <c r="BJ20" s="64" t="s">
        <v>16</v>
      </c>
      <c r="BK20" s="61" t="s">
        <v>17</v>
      </c>
      <c r="BL20" s="59" t="s">
        <v>16</v>
      </c>
      <c r="BM20" s="57" t="s">
        <v>17</v>
      </c>
      <c r="BN20" s="65" t="s">
        <v>16</v>
      </c>
      <c r="BO20" s="57" t="s">
        <v>17</v>
      </c>
      <c r="BP20" s="66" t="s">
        <v>16</v>
      </c>
      <c r="BQ20" s="57" t="s">
        <v>17</v>
      </c>
      <c r="BR20" s="56" t="s">
        <v>16</v>
      </c>
      <c r="BS20" s="57" t="s">
        <v>17</v>
      </c>
      <c r="BT20" s="56" t="s">
        <v>16</v>
      </c>
      <c r="BU20" s="57" t="s">
        <v>17</v>
      </c>
      <c r="BV20" s="59" t="s">
        <v>16</v>
      </c>
      <c r="BW20" s="57" t="s">
        <v>17</v>
      </c>
      <c r="BX20" s="63" t="s">
        <v>16</v>
      </c>
      <c r="BY20" s="57" t="s">
        <v>17</v>
      </c>
      <c r="BZ20" s="59" t="s">
        <v>16</v>
      </c>
      <c r="CA20" s="57" t="s">
        <v>17</v>
      </c>
      <c r="CB20" s="59" t="s">
        <v>16</v>
      </c>
      <c r="CC20" s="57" t="s">
        <v>17</v>
      </c>
      <c r="CD20" s="67" t="s">
        <v>16</v>
      </c>
      <c r="CE20" s="61" t="s">
        <v>17</v>
      </c>
      <c r="CF20" s="64" t="s">
        <v>16</v>
      </c>
      <c r="CG20" s="61" t="s">
        <v>17</v>
      </c>
      <c r="CH20" s="64" t="s">
        <v>16</v>
      </c>
      <c r="CI20" s="57" t="s">
        <v>17</v>
      </c>
      <c r="CJ20" s="64" t="s">
        <v>16</v>
      </c>
      <c r="CK20" s="57" t="s">
        <v>17</v>
      </c>
      <c r="CL20" s="63" t="s">
        <v>16</v>
      </c>
      <c r="CM20" s="57" t="s">
        <v>17</v>
      </c>
      <c r="CN20" s="63" t="s">
        <v>16</v>
      </c>
      <c r="CO20" s="57" t="s">
        <v>17</v>
      </c>
      <c r="CP20" s="63" t="s">
        <v>16</v>
      </c>
      <c r="CQ20" s="57" t="s">
        <v>17</v>
      </c>
      <c r="CR20" s="59" t="s">
        <v>16</v>
      </c>
      <c r="CS20" s="57" t="s">
        <v>17</v>
      </c>
      <c r="CT20" s="59" t="s">
        <v>16</v>
      </c>
      <c r="CU20" s="57" t="s">
        <v>17</v>
      </c>
      <c r="CV20" s="59" t="s">
        <v>16</v>
      </c>
      <c r="CW20" s="57" t="s">
        <v>17</v>
      </c>
      <c r="CX20" s="63" t="s">
        <v>16</v>
      </c>
      <c r="CY20" s="57" t="s">
        <v>17</v>
      </c>
      <c r="CZ20" s="56" t="s">
        <v>16</v>
      </c>
      <c r="DA20" s="57" t="s">
        <v>17</v>
      </c>
      <c r="DB20" s="67" t="s">
        <v>16</v>
      </c>
      <c r="DC20" s="61" t="s">
        <v>17</v>
      </c>
      <c r="DD20" s="67" t="s">
        <v>16</v>
      </c>
      <c r="DE20" s="61" t="s">
        <v>17</v>
      </c>
      <c r="DF20" s="61" t="s">
        <v>16</v>
      </c>
      <c r="DG20" s="61" t="s">
        <v>17</v>
      </c>
      <c r="DH20" s="64" t="s">
        <v>16</v>
      </c>
      <c r="DI20" s="61" t="s">
        <v>17</v>
      </c>
      <c r="DJ20" s="68" t="s">
        <v>16</v>
      </c>
      <c r="DK20" s="61" t="s">
        <v>17</v>
      </c>
    </row>
    <row r="21" spans="1:117" ht="32.25" customHeight="1" x14ac:dyDescent="0.3">
      <c r="A21" s="69" t="s">
        <v>146</v>
      </c>
      <c r="B21" s="69">
        <v>4</v>
      </c>
      <c r="C21" s="70">
        <v>10850</v>
      </c>
      <c r="D21" s="58">
        <v>5</v>
      </c>
      <c r="E21" s="70">
        <v>14920</v>
      </c>
      <c r="F21" s="71">
        <v>9</v>
      </c>
      <c r="G21" s="70">
        <v>23800</v>
      </c>
      <c r="H21" s="71">
        <v>8</v>
      </c>
      <c r="I21" s="70">
        <v>8150</v>
      </c>
      <c r="J21" s="71">
        <v>9</v>
      </c>
      <c r="K21" s="70">
        <v>20960</v>
      </c>
      <c r="L21" s="71">
        <v>7</v>
      </c>
      <c r="M21" s="70">
        <v>14478</v>
      </c>
      <c r="N21" s="71">
        <v>11</v>
      </c>
      <c r="O21" s="70">
        <v>32440</v>
      </c>
      <c r="P21" s="71">
        <v>8</v>
      </c>
      <c r="Q21" s="70">
        <v>15000</v>
      </c>
      <c r="R21" s="71">
        <v>4</v>
      </c>
      <c r="S21" s="70">
        <v>11391</v>
      </c>
      <c r="T21" s="72">
        <v>16</v>
      </c>
      <c r="U21" s="70">
        <v>36565</v>
      </c>
      <c r="V21" s="73">
        <v>12</v>
      </c>
      <c r="W21" s="70">
        <v>23270</v>
      </c>
      <c r="X21" s="73">
        <v>12</v>
      </c>
      <c r="Y21" s="70">
        <v>28186</v>
      </c>
      <c r="Z21" s="71">
        <v>6</v>
      </c>
      <c r="AA21" s="70">
        <v>11000</v>
      </c>
      <c r="AB21" s="71">
        <v>10</v>
      </c>
      <c r="AC21" s="70">
        <v>21780</v>
      </c>
      <c r="AD21" s="74">
        <v>12</v>
      </c>
      <c r="AE21" s="70">
        <v>11700</v>
      </c>
      <c r="AF21" s="71">
        <v>16</v>
      </c>
      <c r="AG21" s="70">
        <v>27790</v>
      </c>
      <c r="AH21" s="71">
        <v>2</v>
      </c>
      <c r="AI21" s="70">
        <v>1200</v>
      </c>
      <c r="AJ21" s="71">
        <v>11</v>
      </c>
      <c r="AK21" s="70">
        <v>18040</v>
      </c>
      <c r="AL21" s="71">
        <v>7</v>
      </c>
      <c r="AM21" s="70">
        <v>9450</v>
      </c>
      <c r="AN21" s="71">
        <v>8</v>
      </c>
      <c r="AO21" s="70">
        <v>11600</v>
      </c>
      <c r="AP21" s="71">
        <v>6</v>
      </c>
      <c r="AQ21" s="70">
        <v>9720</v>
      </c>
      <c r="AR21" s="71">
        <v>10</v>
      </c>
      <c r="AS21" s="70">
        <v>18650</v>
      </c>
      <c r="AT21" s="71">
        <v>7</v>
      </c>
      <c r="AU21" s="70">
        <v>14840</v>
      </c>
      <c r="AV21" s="72">
        <v>10</v>
      </c>
      <c r="AW21" s="70">
        <v>15328</v>
      </c>
      <c r="AX21" s="71">
        <v>9</v>
      </c>
      <c r="AY21" s="70">
        <v>11550</v>
      </c>
      <c r="AZ21" s="71">
        <v>1</v>
      </c>
      <c r="BA21" s="70">
        <v>350</v>
      </c>
      <c r="BB21" s="71">
        <v>10</v>
      </c>
      <c r="BC21" s="70">
        <v>12100</v>
      </c>
      <c r="BD21" s="71">
        <v>7</v>
      </c>
      <c r="BE21" s="70">
        <v>7250</v>
      </c>
      <c r="BF21" s="71">
        <v>7</v>
      </c>
      <c r="BG21" s="70">
        <v>10150</v>
      </c>
      <c r="BH21" s="71">
        <v>6</v>
      </c>
      <c r="BI21" s="70">
        <v>11800</v>
      </c>
      <c r="BJ21" s="71">
        <v>7</v>
      </c>
      <c r="BK21" s="70">
        <v>7700</v>
      </c>
      <c r="BL21" s="71">
        <v>10</v>
      </c>
      <c r="BM21" s="70">
        <v>20650</v>
      </c>
      <c r="BN21" s="72">
        <v>14</v>
      </c>
      <c r="BO21" s="70">
        <v>19240</v>
      </c>
      <c r="BP21" s="72">
        <v>11</v>
      </c>
      <c r="BQ21" s="70">
        <v>16850</v>
      </c>
      <c r="BR21" s="60">
        <v>11</v>
      </c>
      <c r="BS21" s="61">
        <v>14330</v>
      </c>
      <c r="BT21" s="71">
        <v>0</v>
      </c>
      <c r="BU21" s="70">
        <v>0</v>
      </c>
      <c r="BV21" s="71">
        <v>9</v>
      </c>
      <c r="BW21" s="70">
        <v>13100</v>
      </c>
      <c r="BX21" s="74">
        <v>10</v>
      </c>
      <c r="BY21" s="70">
        <v>21860</v>
      </c>
      <c r="BZ21" s="71">
        <v>5</v>
      </c>
      <c r="CA21" s="70">
        <v>8467</v>
      </c>
      <c r="CB21" s="71">
        <v>5</v>
      </c>
      <c r="CC21" s="70">
        <v>7210</v>
      </c>
      <c r="CD21" s="71">
        <v>12</v>
      </c>
      <c r="CE21" s="70">
        <v>19100</v>
      </c>
      <c r="CF21" s="71">
        <v>6</v>
      </c>
      <c r="CG21" s="70">
        <v>10749</v>
      </c>
      <c r="CH21" s="71">
        <v>8</v>
      </c>
      <c r="CI21" s="70">
        <v>11070</v>
      </c>
      <c r="CJ21" s="71">
        <v>7</v>
      </c>
      <c r="CK21" s="70">
        <v>11230</v>
      </c>
      <c r="CL21" s="74">
        <v>8</v>
      </c>
      <c r="CM21" s="70">
        <v>9450</v>
      </c>
      <c r="CN21" s="74">
        <v>12</v>
      </c>
      <c r="CO21" s="70">
        <v>15770</v>
      </c>
      <c r="CP21" s="74">
        <v>12</v>
      </c>
      <c r="CQ21" s="74">
        <v>24580</v>
      </c>
      <c r="CR21" s="71">
        <v>8</v>
      </c>
      <c r="CS21" s="70">
        <v>15740</v>
      </c>
      <c r="CT21" s="71">
        <v>9</v>
      </c>
      <c r="CU21" s="70">
        <v>17170</v>
      </c>
      <c r="CV21" s="71">
        <v>0</v>
      </c>
      <c r="CW21" s="70">
        <v>0</v>
      </c>
      <c r="CX21" s="74">
        <v>11</v>
      </c>
      <c r="CY21" s="70">
        <v>15500</v>
      </c>
      <c r="CZ21" s="69">
        <v>13</v>
      </c>
      <c r="DA21" s="70">
        <v>24260</v>
      </c>
      <c r="DB21" s="69">
        <v>17</v>
      </c>
      <c r="DC21" s="70">
        <v>28620</v>
      </c>
      <c r="DD21" s="69">
        <v>23</v>
      </c>
      <c r="DE21" s="70">
        <v>39212</v>
      </c>
      <c r="DF21" s="71">
        <f t="shared" ref="DF21:DG36" si="1">CV21+CX21+CZ21+DB21+DD21</f>
        <v>64</v>
      </c>
      <c r="DG21" s="70">
        <f t="shared" ref="DG21:DG30" si="2">CW21+CY21+DA21+DC21+DE21</f>
        <v>107592</v>
      </c>
      <c r="DH21" s="75">
        <f t="shared" ref="DH21:DH22" si="3">B21+CZ21+DB21+D21+F21+H21+J21+L21+N21+P21+R21+T21+V21+X21+Z21+AB21+AD21+AF21+AH21+AJ21+AL21+AN21+AP21+AR21+AT21+AV21+AX21+AZ21+BB21+BD21+BF21+BH21+BJ21+BL21+BN21+BP21+BR21+BT21+BV21+BX21+BZ21+CB21+CD21+CF21+CH21+CJ21+CL21+CP21+CR21+CT21+CV21+CX21+CN21+DD21</f>
        <v>478</v>
      </c>
      <c r="DI21" s="76">
        <f>C21+DA21+DC21+E21+G21+I21+K21+M21+O21+Q21+S21+U21+W21+Y21+AA21+AC21+AE21+AG21+AI21+AK21+AM21+AO21+AQ21+AS21+AU21+AW21+AY21+BA21+BC21+BE21+BG21+BI21+BK21+BM21+BO21+BQ21+BS21+BU21+BW21+BY21+CA21+CC21+CE21+CG21+CI21+CK21+CM21+CQ21+CS21+CU21+CW21+CO21+CY21+DE21</f>
        <v>836166</v>
      </c>
      <c r="DJ21" s="77">
        <f>DH21+4878</f>
        <v>5356</v>
      </c>
      <c r="DK21" s="76">
        <f>DI21+7248957.19</f>
        <v>8085123.1900000004</v>
      </c>
      <c r="DL21" s="7"/>
      <c r="DM21" s="7"/>
    </row>
    <row r="22" spans="1:117" ht="22.5" customHeight="1" x14ac:dyDescent="0.3">
      <c r="A22" s="69" t="s">
        <v>147</v>
      </c>
      <c r="B22" s="69"/>
      <c r="C22" s="70"/>
      <c r="D22" s="58"/>
      <c r="E22" s="70"/>
      <c r="F22" s="71"/>
      <c r="G22" s="70"/>
      <c r="H22" s="71">
        <v>1</v>
      </c>
      <c r="I22" s="70">
        <v>500</v>
      </c>
      <c r="J22" s="71">
        <v>1</v>
      </c>
      <c r="K22" s="70">
        <v>300</v>
      </c>
      <c r="L22" s="71"/>
      <c r="M22" s="70"/>
      <c r="N22" s="71"/>
      <c r="O22" s="70"/>
      <c r="P22" s="71"/>
      <c r="Q22" s="70"/>
      <c r="R22" s="71"/>
      <c r="S22" s="70"/>
      <c r="T22" s="72">
        <v>3</v>
      </c>
      <c r="U22" s="70">
        <v>865</v>
      </c>
      <c r="V22" s="73">
        <v>2</v>
      </c>
      <c r="W22" s="70">
        <v>800</v>
      </c>
      <c r="X22" s="73">
        <v>2</v>
      </c>
      <c r="Y22" s="70">
        <v>460</v>
      </c>
      <c r="Z22" s="71"/>
      <c r="AA22" s="70"/>
      <c r="AB22" s="71">
        <v>2</v>
      </c>
      <c r="AC22" s="70">
        <v>600</v>
      </c>
      <c r="AD22" s="74">
        <v>5</v>
      </c>
      <c r="AE22" s="70">
        <v>1580</v>
      </c>
      <c r="AF22" s="71"/>
      <c r="AG22" s="70"/>
      <c r="AH22" s="71"/>
      <c r="AI22" s="70"/>
      <c r="AJ22" s="71"/>
      <c r="AK22" s="70"/>
      <c r="AL22" s="71"/>
      <c r="AM22" s="70"/>
      <c r="AN22" s="71">
        <v>2</v>
      </c>
      <c r="AO22" s="70">
        <v>700</v>
      </c>
      <c r="AP22" s="71"/>
      <c r="AQ22" s="70"/>
      <c r="AR22" s="71">
        <v>1</v>
      </c>
      <c r="AS22" s="70">
        <v>300</v>
      </c>
      <c r="AT22" s="71"/>
      <c r="AU22" s="70"/>
      <c r="AV22" s="72">
        <v>1</v>
      </c>
      <c r="AW22" s="70">
        <v>300</v>
      </c>
      <c r="AX22" s="71">
        <v>1</v>
      </c>
      <c r="AY22" s="70">
        <v>300</v>
      </c>
      <c r="AZ22" s="71"/>
      <c r="BA22" s="70"/>
      <c r="BB22" s="71">
        <v>2</v>
      </c>
      <c r="BC22" s="70">
        <v>600</v>
      </c>
      <c r="BD22" s="71">
        <v>1</v>
      </c>
      <c r="BE22" s="70">
        <v>500</v>
      </c>
      <c r="BF22" s="71"/>
      <c r="BG22" s="70"/>
      <c r="BH22" s="71">
        <v>1</v>
      </c>
      <c r="BI22" s="70">
        <v>300</v>
      </c>
      <c r="BJ22" s="71"/>
      <c r="BK22" s="70"/>
      <c r="BL22" s="71">
        <v>1</v>
      </c>
      <c r="BM22" s="70">
        <v>150</v>
      </c>
      <c r="BN22" s="72">
        <v>4</v>
      </c>
      <c r="BO22" s="70">
        <v>1600</v>
      </c>
      <c r="BP22" s="72">
        <v>2</v>
      </c>
      <c r="BQ22" s="70">
        <v>800</v>
      </c>
      <c r="BR22" s="60">
        <v>2</v>
      </c>
      <c r="BS22" s="61">
        <v>800</v>
      </c>
      <c r="BT22" s="71"/>
      <c r="BU22" s="70"/>
      <c r="BV22" s="71">
        <v>1</v>
      </c>
      <c r="BW22" s="70">
        <v>500</v>
      </c>
      <c r="BX22" s="74"/>
      <c r="BY22" s="70"/>
      <c r="BZ22" s="71"/>
      <c r="CA22" s="70"/>
      <c r="CB22" s="71">
        <v>2</v>
      </c>
      <c r="CC22" s="70">
        <v>600</v>
      </c>
      <c r="CD22" s="71">
        <v>3</v>
      </c>
      <c r="CE22" s="70">
        <v>1100</v>
      </c>
      <c r="CF22" s="71"/>
      <c r="CG22" s="70"/>
      <c r="CH22" s="71"/>
      <c r="CI22" s="70"/>
      <c r="CJ22" s="71">
        <v>2</v>
      </c>
      <c r="CK22" s="70">
        <v>500</v>
      </c>
      <c r="CL22" s="74">
        <v>1</v>
      </c>
      <c r="CM22" s="70">
        <v>500</v>
      </c>
      <c r="CN22" s="74">
        <v>3</v>
      </c>
      <c r="CO22" s="70">
        <v>970</v>
      </c>
      <c r="CP22" s="74">
        <v>1</v>
      </c>
      <c r="CQ22" s="74">
        <v>300</v>
      </c>
      <c r="CR22" s="71">
        <v>1</v>
      </c>
      <c r="CS22" s="70">
        <v>500</v>
      </c>
      <c r="CT22" s="71">
        <v>3</v>
      </c>
      <c r="CU22" s="70">
        <v>1000</v>
      </c>
      <c r="CV22" s="71"/>
      <c r="CW22" s="70"/>
      <c r="CX22" s="74"/>
      <c r="CY22" s="70"/>
      <c r="CZ22" s="69">
        <v>1</v>
      </c>
      <c r="DA22" s="70">
        <v>300</v>
      </c>
      <c r="DB22" s="69"/>
      <c r="DC22" s="70"/>
      <c r="DD22" s="69"/>
      <c r="DE22" s="70"/>
      <c r="DF22" s="71">
        <f t="shared" si="1"/>
        <v>1</v>
      </c>
      <c r="DG22" s="70">
        <f t="shared" si="2"/>
        <v>300</v>
      </c>
      <c r="DH22" s="75">
        <f t="shared" si="3"/>
        <v>52</v>
      </c>
      <c r="DI22" s="76">
        <f>C22+DA22+DC22+E22+G22+I22+K22+M22+O22+Q22+S22+U22+W22+Y22+AA22+AC22+AE22+AG22+AI22+AK22+AM22+AO22+AQ22+AS22+AU22+AW22+AY22+BA22+BC22+BE22+BG22+BI22+BK22+BM22+BO22+BQ22+BS22+BU22+BW22+BY22+CA22+CC22+CE22+CG22+CI22+CK22+CM22+CQ22+CS22+CU22+CW22+CY22+CO22+DE22</f>
        <v>17725</v>
      </c>
      <c r="DJ22" s="77">
        <f>DH22+127</f>
        <v>179</v>
      </c>
      <c r="DK22" s="76">
        <f>DI22+34376</f>
        <v>52101</v>
      </c>
      <c r="DL22" s="7"/>
      <c r="DM22" s="7"/>
    </row>
    <row r="23" spans="1:117" ht="12" hidden="1" customHeight="1" x14ac:dyDescent="0.3">
      <c r="A23" s="78"/>
      <c r="B23" s="69"/>
      <c r="C23" s="70"/>
      <c r="D23" s="58"/>
      <c r="E23" s="70"/>
      <c r="F23" s="71"/>
      <c r="G23" s="70"/>
      <c r="H23" s="71"/>
      <c r="I23" s="70"/>
      <c r="J23" s="71"/>
      <c r="K23" s="70"/>
      <c r="L23" s="71"/>
      <c r="M23" s="70"/>
      <c r="N23" s="71"/>
      <c r="O23" s="70"/>
      <c r="P23" s="71"/>
      <c r="Q23" s="70"/>
      <c r="R23" s="71"/>
      <c r="S23" s="70"/>
      <c r="T23" s="72"/>
      <c r="U23" s="70"/>
      <c r="V23" s="73"/>
      <c r="W23" s="70"/>
      <c r="X23" s="73"/>
      <c r="Y23" s="70"/>
      <c r="Z23" s="71"/>
      <c r="AA23" s="70"/>
      <c r="AB23" s="71"/>
      <c r="AC23" s="70"/>
      <c r="AD23" s="74"/>
      <c r="AE23" s="70"/>
      <c r="AF23" s="71"/>
      <c r="AG23" s="70"/>
      <c r="AH23" s="71"/>
      <c r="AI23" s="70"/>
      <c r="AJ23" s="71"/>
      <c r="AK23" s="70"/>
      <c r="AL23" s="71"/>
      <c r="AM23" s="70"/>
      <c r="AN23" s="71"/>
      <c r="AO23" s="70"/>
      <c r="AP23" s="71"/>
      <c r="AQ23" s="70"/>
      <c r="AR23" s="71"/>
      <c r="AS23" s="70"/>
      <c r="AT23" s="71"/>
      <c r="AU23" s="70"/>
      <c r="AV23" s="72"/>
      <c r="AW23" s="70"/>
      <c r="AX23" s="71"/>
      <c r="AY23" s="70"/>
      <c r="AZ23" s="71"/>
      <c r="BA23" s="70"/>
      <c r="BB23" s="71"/>
      <c r="BC23" s="70"/>
      <c r="BD23" s="71"/>
      <c r="BE23" s="70"/>
      <c r="BF23" s="71"/>
      <c r="BG23" s="70"/>
      <c r="BH23" s="71"/>
      <c r="BI23" s="70"/>
      <c r="BJ23" s="71"/>
      <c r="BK23" s="70"/>
      <c r="BL23" s="71"/>
      <c r="BM23" s="70"/>
      <c r="BN23" s="72"/>
      <c r="BO23" s="70"/>
      <c r="BP23" s="72"/>
      <c r="BQ23" s="70"/>
      <c r="BR23" s="60"/>
      <c r="BS23" s="61"/>
      <c r="BT23" s="71"/>
      <c r="BU23" s="70"/>
      <c r="BV23" s="71"/>
      <c r="BW23" s="70"/>
      <c r="BX23" s="74"/>
      <c r="BY23" s="70"/>
      <c r="BZ23" s="71"/>
      <c r="CA23" s="70"/>
      <c r="CB23" s="71"/>
      <c r="CC23" s="70"/>
      <c r="CD23" s="71"/>
      <c r="CE23" s="70"/>
      <c r="CF23" s="71"/>
      <c r="CG23" s="70"/>
      <c r="CH23" s="71"/>
      <c r="CI23" s="70"/>
      <c r="CJ23" s="71"/>
      <c r="CK23" s="70"/>
      <c r="CL23" s="74"/>
      <c r="CM23" s="70"/>
      <c r="CN23" s="74"/>
      <c r="CO23" s="70"/>
      <c r="CP23" s="74"/>
      <c r="CQ23" s="74"/>
      <c r="CR23" s="71"/>
      <c r="CS23" s="70"/>
      <c r="CT23" s="71"/>
      <c r="CU23" s="70"/>
      <c r="CV23" s="71"/>
      <c r="CW23" s="70"/>
      <c r="CX23" s="74"/>
      <c r="CY23" s="70"/>
      <c r="CZ23" s="69"/>
      <c r="DA23" s="70"/>
      <c r="DB23" s="69"/>
      <c r="DC23" s="70"/>
      <c r="DD23" s="69"/>
      <c r="DE23" s="70"/>
      <c r="DF23" s="71">
        <f t="shared" si="1"/>
        <v>0</v>
      </c>
      <c r="DG23" s="70">
        <f t="shared" si="2"/>
        <v>0</v>
      </c>
      <c r="DH23" s="75"/>
      <c r="DI23" s="76"/>
      <c r="DJ23" s="77"/>
      <c r="DK23" s="76"/>
      <c r="DL23" s="7"/>
      <c r="DM23" s="7"/>
    </row>
    <row r="24" spans="1:117" ht="22.5" customHeight="1" x14ac:dyDescent="0.3">
      <c r="A24" s="79" t="s">
        <v>148</v>
      </c>
      <c r="B24" s="69"/>
      <c r="C24" s="70"/>
      <c r="D24" s="80">
        <v>2</v>
      </c>
      <c r="E24" s="81">
        <v>9470</v>
      </c>
      <c r="F24" s="82">
        <v>1</v>
      </c>
      <c r="G24" s="81">
        <v>500</v>
      </c>
      <c r="H24" s="82">
        <v>3</v>
      </c>
      <c r="I24" s="81">
        <v>1150</v>
      </c>
      <c r="J24" s="82">
        <v>1</v>
      </c>
      <c r="K24" s="81">
        <v>300</v>
      </c>
      <c r="L24" s="82">
        <v>2</v>
      </c>
      <c r="M24" s="81">
        <v>7000</v>
      </c>
      <c r="N24" s="82">
        <v>6</v>
      </c>
      <c r="O24" s="81">
        <v>16000</v>
      </c>
      <c r="P24" s="82">
        <v>2</v>
      </c>
      <c r="Q24" s="81">
        <v>600</v>
      </c>
      <c r="R24" s="82"/>
      <c r="S24" s="81"/>
      <c r="T24" s="83">
        <v>2</v>
      </c>
      <c r="U24" s="81">
        <v>8500</v>
      </c>
      <c r="V24" s="84">
        <v>2</v>
      </c>
      <c r="W24" s="81">
        <v>1220</v>
      </c>
      <c r="X24" s="73"/>
      <c r="Y24" s="70"/>
      <c r="Z24" s="82"/>
      <c r="AA24" s="81"/>
      <c r="AB24" s="82">
        <v>1</v>
      </c>
      <c r="AC24" s="81">
        <v>1700</v>
      </c>
      <c r="AD24" s="85">
        <v>2</v>
      </c>
      <c r="AE24" s="81">
        <v>2420</v>
      </c>
      <c r="AF24" s="82">
        <v>2</v>
      </c>
      <c r="AG24" s="81">
        <v>3800</v>
      </c>
      <c r="AH24" s="82">
        <v>1</v>
      </c>
      <c r="AI24" s="81">
        <v>300</v>
      </c>
      <c r="AJ24" s="82">
        <v>2</v>
      </c>
      <c r="AK24" s="81">
        <v>1580</v>
      </c>
      <c r="AL24" s="82">
        <v>1</v>
      </c>
      <c r="AM24" s="81">
        <v>2300</v>
      </c>
      <c r="AN24" s="82">
        <v>2</v>
      </c>
      <c r="AO24" s="81">
        <v>600</v>
      </c>
      <c r="AP24" s="82">
        <v>1</v>
      </c>
      <c r="AQ24" s="81">
        <v>2040</v>
      </c>
      <c r="AR24" s="82">
        <v>4</v>
      </c>
      <c r="AS24" s="81">
        <v>9350</v>
      </c>
      <c r="AT24" s="82">
        <v>2</v>
      </c>
      <c r="AU24" s="81">
        <v>5300</v>
      </c>
      <c r="AV24" s="86">
        <v>2</v>
      </c>
      <c r="AW24" s="81">
        <v>3500</v>
      </c>
      <c r="AX24" s="82">
        <v>2</v>
      </c>
      <c r="AY24" s="81">
        <v>3750</v>
      </c>
      <c r="AZ24" s="82"/>
      <c r="BA24" s="81"/>
      <c r="BB24" s="82"/>
      <c r="BC24" s="81"/>
      <c r="BD24" s="82"/>
      <c r="BE24" s="81"/>
      <c r="BF24" s="82">
        <v>1</v>
      </c>
      <c r="BG24" s="81">
        <v>500</v>
      </c>
      <c r="BH24" s="82">
        <v>1</v>
      </c>
      <c r="BI24" s="81">
        <v>2000</v>
      </c>
      <c r="BJ24" s="71">
        <v>1</v>
      </c>
      <c r="BK24" s="70">
        <v>900</v>
      </c>
      <c r="BL24" s="71">
        <v>1</v>
      </c>
      <c r="BM24" s="70">
        <v>150</v>
      </c>
      <c r="BN24" s="86">
        <v>5</v>
      </c>
      <c r="BO24" s="81">
        <v>4800</v>
      </c>
      <c r="BP24" s="72">
        <v>2</v>
      </c>
      <c r="BQ24" s="70">
        <v>4500</v>
      </c>
      <c r="BR24" s="87">
        <v>1</v>
      </c>
      <c r="BS24" s="88">
        <v>500</v>
      </c>
      <c r="BT24" s="82"/>
      <c r="BU24" s="70"/>
      <c r="BV24" s="82">
        <v>5</v>
      </c>
      <c r="BW24" s="81">
        <v>9400</v>
      </c>
      <c r="BX24" s="85">
        <v>2</v>
      </c>
      <c r="BY24" s="81">
        <v>4000</v>
      </c>
      <c r="BZ24" s="82">
        <v>1</v>
      </c>
      <c r="CA24" s="81">
        <v>1300</v>
      </c>
      <c r="CB24" s="82"/>
      <c r="CC24" s="81"/>
      <c r="CD24" s="79">
        <v>4</v>
      </c>
      <c r="CE24" s="81">
        <v>4100</v>
      </c>
      <c r="CF24" s="82">
        <v>2</v>
      </c>
      <c r="CG24" s="81">
        <v>1429</v>
      </c>
      <c r="CH24" s="82">
        <v>2</v>
      </c>
      <c r="CI24" s="81">
        <v>930</v>
      </c>
      <c r="CJ24" s="82">
        <v>3</v>
      </c>
      <c r="CK24" s="81">
        <v>6300</v>
      </c>
      <c r="CL24" s="85">
        <v>3</v>
      </c>
      <c r="CM24" s="81">
        <v>1300</v>
      </c>
      <c r="CN24" s="74">
        <v>6</v>
      </c>
      <c r="CO24" s="70">
        <v>6300</v>
      </c>
      <c r="CP24" s="74">
        <v>2</v>
      </c>
      <c r="CQ24" s="74">
        <v>480</v>
      </c>
      <c r="CR24" s="82">
        <v>2</v>
      </c>
      <c r="CS24" s="81">
        <v>2340</v>
      </c>
      <c r="CT24" s="82">
        <v>5</v>
      </c>
      <c r="CU24" s="81">
        <v>8120</v>
      </c>
      <c r="CV24" s="71"/>
      <c r="CW24" s="70"/>
      <c r="CX24" s="74"/>
      <c r="CY24" s="70"/>
      <c r="CZ24" s="79">
        <v>2</v>
      </c>
      <c r="DA24" s="81">
        <v>2800</v>
      </c>
      <c r="DB24" s="66">
        <v>4</v>
      </c>
      <c r="DC24" s="76">
        <v>8130</v>
      </c>
      <c r="DD24" s="66">
        <v>7</v>
      </c>
      <c r="DE24" s="76">
        <v>14400</v>
      </c>
      <c r="DF24" s="71">
        <f t="shared" si="1"/>
        <v>13</v>
      </c>
      <c r="DG24" s="70">
        <f t="shared" si="2"/>
        <v>25330</v>
      </c>
      <c r="DH24" s="75">
        <f>16+B24+CZ24+DB24+D24+F24+H24+J24+L24+N24+P24+R24+T24+V24+X24+Z24+AB24+AD24+AF24+AH24+AJ24+AL24+AN24+AP24+AR24+AT24+AV24+AX24+AZ24+BB24+BD24+BF24+BH24+BJ24+BL24+BN24+BP24+BR24+BT24+BV24+BX24+BZ24+CB24+CD24+CF24+CH24+CJ24+CL24+CP24+CR24+CT24+CV24+CX24+CN24+DD24</f>
        <v>121</v>
      </c>
      <c r="DI24" s="76">
        <f>7260+C24+DA24+DC24+E24+G24+I24+K24+M24+O24+Q24+S24+U24+W24+Y24+AA24+AC24+AE24+AG24+AI24+AK24+AM24+AO24+AQ24+AS24+AU24+AW24+AY24+BA24+BC24+BE24+BG24+BI24+BK24+BM24+BO24+BQ24+BS24+BU24+BW24+BY24+CA24+CC24+CE24+CG24+CI24+CK24+CM24+CQ24+CS24+CU24+CW24+CY24+CO24+DE24</f>
        <v>173319</v>
      </c>
      <c r="DJ24" s="77">
        <f>DH24+457</f>
        <v>578</v>
      </c>
      <c r="DK24" s="76">
        <f>DI24+588222.6</f>
        <v>761541.6</v>
      </c>
      <c r="DL24" s="7"/>
      <c r="DM24" s="7"/>
    </row>
    <row r="25" spans="1:117" s="89" customFormat="1" ht="30" customHeight="1" x14ac:dyDescent="0.3">
      <c r="A25" s="79" t="s">
        <v>149</v>
      </c>
      <c r="B25" s="69">
        <v>2</v>
      </c>
      <c r="C25" s="70">
        <v>2850</v>
      </c>
      <c r="D25" s="80">
        <v>1</v>
      </c>
      <c r="E25" s="81">
        <v>5000</v>
      </c>
      <c r="F25" s="82">
        <v>4</v>
      </c>
      <c r="G25" s="81">
        <v>9400</v>
      </c>
      <c r="H25" s="82">
        <v>2</v>
      </c>
      <c r="I25" s="81">
        <v>1450</v>
      </c>
      <c r="J25" s="82">
        <v>1</v>
      </c>
      <c r="K25" s="81">
        <v>300</v>
      </c>
      <c r="L25" s="82">
        <v>3</v>
      </c>
      <c r="M25" s="81">
        <v>2618</v>
      </c>
      <c r="N25" s="82">
        <v>4</v>
      </c>
      <c r="O25" s="81">
        <v>9500</v>
      </c>
      <c r="P25" s="82">
        <v>3</v>
      </c>
      <c r="Q25" s="81">
        <v>7500</v>
      </c>
      <c r="R25" s="82">
        <v>1</v>
      </c>
      <c r="S25" s="81">
        <v>3511</v>
      </c>
      <c r="T25" s="83">
        <v>4</v>
      </c>
      <c r="U25" s="81">
        <v>10400</v>
      </c>
      <c r="V25" s="84">
        <v>5</v>
      </c>
      <c r="W25" s="81">
        <v>14550</v>
      </c>
      <c r="X25" s="73">
        <v>3</v>
      </c>
      <c r="Y25" s="70">
        <v>11931</v>
      </c>
      <c r="Z25" s="82">
        <v>2</v>
      </c>
      <c r="AA25" s="81">
        <v>2000</v>
      </c>
      <c r="AB25" s="82">
        <v>4</v>
      </c>
      <c r="AC25" s="81">
        <v>10730</v>
      </c>
      <c r="AD25" s="85"/>
      <c r="AE25" s="81"/>
      <c r="AF25" s="82"/>
      <c r="AG25" s="81"/>
      <c r="AH25" s="82">
        <v>1</v>
      </c>
      <c r="AI25" s="81">
        <v>900</v>
      </c>
      <c r="AJ25" s="82">
        <v>1</v>
      </c>
      <c r="AK25" s="81">
        <v>2200</v>
      </c>
      <c r="AL25" s="82">
        <v>1</v>
      </c>
      <c r="AM25" s="81">
        <v>2500</v>
      </c>
      <c r="AN25" s="82">
        <v>1</v>
      </c>
      <c r="AO25" s="81">
        <v>3000</v>
      </c>
      <c r="AP25" s="82"/>
      <c r="AQ25" s="81"/>
      <c r="AR25" s="82">
        <v>2</v>
      </c>
      <c r="AS25" s="81">
        <v>4200</v>
      </c>
      <c r="AT25" s="82"/>
      <c r="AU25" s="81"/>
      <c r="AV25" s="86"/>
      <c r="AW25" s="81"/>
      <c r="AX25" s="82"/>
      <c r="AY25" s="81"/>
      <c r="AZ25" s="82"/>
      <c r="BA25" s="81"/>
      <c r="BB25" s="82">
        <v>2</v>
      </c>
      <c r="BC25" s="81">
        <v>2800</v>
      </c>
      <c r="BD25" s="82">
        <v>1</v>
      </c>
      <c r="BE25" s="81">
        <v>2500</v>
      </c>
      <c r="BF25" s="82"/>
      <c r="BG25" s="81"/>
      <c r="BH25" s="82"/>
      <c r="BI25" s="81"/>
      <c r="BJ25" s="71">
        <v>1</v>
      </c>
      <c r="BK25" s="70">
        <v>700</v>
      </c>
      <c r="BL25" s="71">
        <v>7</v>
      </c>
      <c r="BM25" s="70">
        <v>15650</v>
      </c>
      <c r="BN25" s="86">
        <v>10</v>
      </c>
      <c r="BO25" s="81">
        <v>10280</v>
      </c>
      <c r="BP25" s="72">
        <v>8</v>
      </c>
      <c r="BQ25" s="70">
        <v>10850</v>
      </c>
      <c r="BR25" s="87">
        <v>11</v>
      </c>
      <c r="BS25" s="88">
        <v>14330</v>
      </c>
      <c r="BT25" s="82"/>
      <c r="BU25" s="70"/>
      <c r="BV25" s="82">
        <v>9</v>
      </c>
      <c r="BW25" s="81">
        <v>13100</v>
      </c>
      <c r="BX25" s="85">
        <v>6</v>
      </c>
      <c r="BY25" s="81">
        <v>14260</v>
      </c>
      <c r="BZ25" s="82">
        <v>4</v>
      </c>
      <c r="CA25" s="81">
        <v>6467</v>
      </c>
      <c r="CB25" s="82">
        <v>5</v>
      </c>
      <c r="CC25" s="81">
        <v>7210</v>
      </c>
      <c r="CD25" s="79">
        <v>11</v>
      </c>
      <c r="CE25" s="81">
        <v>17300</v>
      </c>
      <c r="CF25" s="82">
        <v>5</v>
      </c>
      <c r="CG25" s="81">
        <v>8449</v>
      </c>
      <c r="CH25" s="82">
        <v>6</v>
      </c>
      <c r="CI25" s="81">
        <v>7770</v>
      </c>
      <c r="CJ25" s="82">
        <v>6</v>
      </c>
      <c r="CK25" s="81">
        <v>9730</v>
      </c>
      <c r="CL25" s="85">
        <v>7</v>
      </c>
      <c r="CM25" s="81">
        <v>7100</v>
      </c>
      <c r="CN25" s="74">
        <v>10</v>
      </c>
      <c r="CO25" s="70">
        <v>12770</v>
      </c>
      <c r="CP25" s="74">
        <v>8</v>
      </c>
      <c r="CQ25" s="74">
        <v>13580</v>
      </c>
      <c r="CR25" s="82">
        <v>8</v>
      </c>
      <c r="CS25" s="81">
        <v>15740</v>
      </c>
      <c r="CT25" s="82">
        <v>9</v>
      </c>
      <c r="CU25" s="81">
        <v>17170</v>
      </c>
      <c r="CV25" s="71"/>
      <c r="CW25" s="70"/>
      <c r="CX25" s="74">
        <v>6</v>
      </c>
      <c r="CY25" s="70">
        <v>7800</v>
      </c>
      <c r="CZ25" s="79">
        <v>11</v>
      </c>
      <c r="DA25" s="81">
        <v>19760</v>
      </c>
      <c r="DB25" s="66">
        <v>10</v>
      </c>
      <c r="DC25" s="76">
        <v>14230</v>
      </c>
      <c r="DD25" s="66">
        <v>16</v>
      </c>
      <c r="DE25" s="76">
        <v>28532</v>
      </c>
      <c r="DF25" s="71">
        <f t="shared" si="1"/>
        <v>43</v>
      </c>
      <c r="DG25" s="70">
        <f t="shared" si="2"/>
        <v>70322</v>
      </c>
      <c r="DH25" s="75">
        <f>145+B25+CZ25+DB25+D25+F25+H25+J25+L25+N25+P25+R25+T25+V25+X25+Z25+AB25+AD25+AF25+AH25+AJ25+AL25+AN25+AP25+AR25+AT25+AV25+AX25+AZ25+BB25+BD25+BF25+BH25+BJ25+BL25+BN25+BP25+BR25+BT25+BV25+BX25+BZ25+CB25+CD25+CF25+CH25+CJ25+CL25+CP25+CR25+CT25+CV25+CX25+CN25+DD25</f>
        <v>367</v>
      </c>
      <c r="DI25" s="76">
        <f>219863+C25+DA25+DC25+E25+G25+I25+K25+M25+O25+Q25+S25+U25+W25+Y25+AA25+AC25+AE25+AG25+AI25+AK25+AM25+AO25+AQ25+AS25+AU25+AW25+AY25+BA25+BC25+BE25+BG25+BI25+BK25+BM25+BO25+BQ25+BS25+BU25+BW25+BY25+CA25+CC25+CE25+CG25+CI25+CK25+CM25+CQ25+CS25+CU25+CW25+CY25+CO25+DE25</f>
        <v>602481</v>
      </c>
      <c r="DJ25" s="77">
        <f>DH25+268</f>
        <v>635</v>
      </c>
      <c r="DK25" s="76">
        <f>DI25+717389</f>
        <v>1319870</v>
      </c>
      <c r="DL25" s="90"/>
      <c r="DM25" s="90"/>
    </row>
    <row r="26" spans="1:117" ht="17.25" hidden="1" customHeight="1" x14ac:dyDescent="0.3">
      <c r="A26" s="79" t="s">
        <v>150</v>
      </c>
      <c r="B26" s="69"/>
      <c r="C26" s="70"/>
      <c r="D26" s="80"/>
      <c r="E26" s="81"/>
      <c r="F26" s="82"/>
      <c r="G26" s="81"/>
      <c r="H26" s="82"/>
      <c r="I26" s="81"/>
      <c r="J26" s="82"/>
      <c r="K26" s="81"/>
      <c r="L26" s="82"/>
      <c r="M26" s="81"/>
      <c r="N26" s="82"/>
      <c r="O26" s="81"/>
      <c r="P26" s="82"/>
      <c r="Q26" s="81"/>
      <c r="R26" s="82"/>
      <c r="S26" s="81"/>
      <c r="T26" s="83"/>
      <c r="U26" s="81"/>
      <c r="V26" s="84"/>
      <c r="W26" s="81"/>
      <c r="X26" s="73"/>
      <c r="Y26" s="70"/>
      <c r="Z26" s="82"/>
      <c r="AA26" s="81"/>
      <c r="AB26" s="82"/>
      <c r="AC26" s="81"/>
      <c r="AD26" s="85"/>
      <c r="AE26" s="81"/>
      <c r="AF26" s="82"/>
      <c r="AG26" s="81"/>
      <c r="AH26" s="82"/>
      <c r="AI26" s="81"/>
      <c r="AJ26" s="82"/>
      <c r="AK26" s="81"/>
      <c r="AL26" s="82"/>
      <c r="AM26" s="81"/>
      <c r="AN26" s="82"/>
      <c r="AO26" s="81"/>
      <c r="AP26" s="82"/>
      <c r="AQ26" s="81"/>
      <c r="AR26" s="82"/>
      <c r="AS26" s="81"/>
      <c r="AT26" s="82"/>
      <c r="AU26" s="81"/>
      <c r="AV26" s="86"/>
      <c r="AW26" s="81"/>
      <c r="AX26" s="82"/>
      <c r="AY26" s="81"/>
      <c r="AZ26" s="82"/>
      <c r="BA26" s="81"/>
      <c r="BB26" s="82"/>
      <c r="BC26" s="81"/>
      <c r="BD26" s="82"/>
      <c r="BE26" s="81"/>
      <c r="BF26" s="82"/>
      <c r="BG26" s="81"/>
      <c r="BH26" s="82"/>
      <c r="BI26" s="81"/>
      <c r="BJ26" s="71"/>
      <c r="BK26" s="70"/>
      <c r="BL26" s="71"/>
      <c r="BM26" s="70"/>
      <c r="BN26" s="86"/>
      <c r="BO26" s="81"/>
      <c r="BP26" s="72"/>
      <c r="BQ26" s="70"/>
      <c r="BR26" s="87"/>
      <c r="BS26" s="88"/>
      <c r="BT26" s="82"/>
      <c r="BU26" s="70"/>
      <c r="BV26" s="82"/>
      <c r="BW26" s="81"/>
      <c r="BX26" s="85"/>
      <c r="BY26" s="81"/>
      <c r="BZ26" s="82"/>
      <c r="CA26" s="81"/>
      <c r="CB26" s="82"/>
      <c r="CC26" s="81"/>
      <c r="CD26" s="79"/>
      <c r="CE26" s="81"/>
      <c r="CF26" s="82"/>
      <c r="CG26" s="81"/>
      <c r="CH26" s="82"/>
      <c r="CI26" s="81"/>
      <c r="CJ26" s="82"/>
      <c r="CK26" s="81"/>
      <c r="CL26" s="85"/>
      <c r="CM26" s="81"/>
      <c r="CN26" s="74"/>
      <c r="CO26" s="70"/>
      <c r="CP26" s="74"/>
      <c r="CQ26" s="74"/>
      <c r="CR26" s="82"/>
      <c r="CS26" s="81"/>
      <c r="CT26" s="82"/>
      <c r="CU26" s="81"/>
      <c r="CV26" s="71"/>
      <c r="CW26" s="70"/>
      <c r="CX26" s="74"/>
      <c r="CY26" s="70"/>
      <c r="CZ26" s="79"/>
      <c r="DA26" s="81"/>
      <c r="DB26" s="66"/>
      <c r="DC26" s="76"/>
      <c r="DD26" s="66"/>
      <c r="DE26" s="76"/>
      <c r="DF26" s="71">
        <f t="shared" si="1"/>
        <v>0</v>
      </c>
      <c r="DG26" s="70">
        <f t="shared" si="2"/>
        <v>0</v>
      </c>
      <c r="DH26" s="75">
        <f t="shared" ref="DH26:DH30" si="4">B26+CZ26+DB26+D26+F26+H26+J26+L26+N26+P26+R26+T26+V26+X26+Z26+AB26+AD26+AF26+AH26+AJ26+AL26+AN26+AP26+AR26+AT26+AV26+AX26+AZ26+BB26+BD26+BF26+BH26+BJ26+BL26+BN26+BP26+BR26+BT26+BV26+BX26+BZ26+CB26+CD26+CF26+CH26+CJ26+CL26+CP26+CR26+CT26+CV26+CX26+CN26+DD26</f>
        <v>0</v>
      </c>
      <c r="DI26" s="76">
        <f t="shared" ref="DI26:DI30" si="5">C26+DA26+DC26+E26+G26+I26+K26+M26+O26+Q26+S26+U26+W26+Y26+AA26+AC26+AE26+AG26+AI26+AK26+AM26+AO26+AQ26+AS26+AU26+AW26+AY26+BA26+BC26+BE26+BG26+BI26+BK26+BM26+BO26+BQ26+BS26+BU26+BW26+BY26+CA26+CC26+CE26+CG26+CI26+CK26+CM26+CQ26+CS26+CU26+CW26+CY26+CO26+DE26</f>
        <v>0</v>
      </c>
      <c r="DJ26" s="77">
        <f>DH26+82</f>
        <v>82</v>
      </c>
      <c r="DK26" s="76">
        <f>DI26+93709.6</f>
        <v>93709.6</v>
      </c>
      <c r="DL26" s="7"/>
      <c r="DM26" s="7"/>
    </row>
    <row r="27" spans="1:117" ht="27.6" x14ac:dyDescent="0.3">
      <c r="A27" s="91" t="s">
        <v>151</v>
      </c>
      <c r="B27" s="92"/>
      <c r="C27" s="93"/>
      <c r="D27" s="94"/>
      <c r="E27" s="95"/>
      <c r="F27" s="96">
        <v>1</v>
      </c>
      <c r="G27" s="95">
        <v>500</v>
      </c>
      <c r="H27" s="96"/>
      <c r="I27" s="95"/>
      <c r="J27" s="96"/>
      <c r="K27" s="95"/>
      <c r="L27" s="96"/>
      <c r="M27" s="95"/>
      <c r="N27" s="96"/>
      <c r="O27" s="95"/>
      <c r="P27" s="96"/>
      <c r="Q27" s="95"/>
      <c r="R27" s="96"/>
      <c r="S27" s="95"/>
      <c r="T27" s="97"/>
      <c r="U27" s="95"/>
      <c r="V27" s="98"/>
      <c r="W27" s="95"/>
      <c r="X27" s="99">
        <v>1</v>
      </c>
      <c r="Y27" s="93">
        <v>3300</v>
      </c>
      <c r="Z27" s="96"/>
      <c r="AA27" s="95"/>
      <c r="AB27" s="96">
        <v>1</v>
      </c>
      <c r="AC27" s="95">
        <v>3000</v>
      </c>
      <c r="AD27" s="100"/>
      <c r="AE27" s="95"/>
      <c r="AF27" s="96"/>
      <c r="AG27" s="95"/>
      <c r="AH27" s="96"/>
      <c r="AI27" s="95"/>
      <c r="AJ27" s="96"/>
      <c r="AK27" s="95"/>
      <c r="AL27" s="96">
        <v>1</v>
      </c>
      <c r="AM27" s="95">
        <v>1400</v>
      </c>
      <c r="AN27" s="96">
        <v>1</v>
      </c>
      <c r="AO27" s="95">
        <v>500</v>
      </c>
      <c r="AP27" s="96"/>
      <c r="AQ27" s="95"/>
      <c r="AR27" s="96"/>
      <c r="AS27" s="95"/>
      <c r="AT27" s="96"/>
      <c r="AU27" s="95"/>
      <c r="AV27" s="101"/>
      <c r="AW27" s="95"/>
      <c r="AX27" s="96"/>
      <c r="AY27" s="95"/>
      <c r="AZ27" s="96"/>
      <c r="BA27" s="95"/>
      <c r="BB27" s="96"/>
      <c r="BC27" s="95"/>
      <c r="BD27" s="96"/>
      <c r="BE27" s="95"/>
      <c r="BF27" s="96">
        <v>1</v>
      </c>
      <c r="BG27" s="95">
        <v>250</v>
      </c>
      <c r="BH27" s="96"/>
      <c r="BI27" s="95"/>
      <c r="BJ27" s="102"/>
      <c r="BK27" s="93"/>
      <c r="BL27" s="102"/>
      <c r="BM27" s="93"/>
      <c r="BN27" s="101"/>
      <c r="BO27" s="95"/>
      <c r="BP27" s="103"/>
      <c r="BQ27" s="93"/>
      <c r="BR27" s="104">
        <v>1</v>
      </c>
      <c r="BS27" s="105">
        <v>500</v>
      </c>
      <c r="BT27" s="96"/>
      <c r="BU27" s="93"/>
      <c r="BV27" s="96">
        <v>1</v>
      </c>
      <c r="BW27" s="95">
        <v>500</v>
      </c>
      <c r="BX27" s="100">
        <v>1</v>
      </c>
      <c r="BY27" s="95">
        <v>3000</v>
      </c>
      <c r="BZ27" s="96"/>
      <c r="CA27" s="95"/>
      <c r="CB27" s="96"/>
      <c r="CC27" s="95"/>
      <c r="CD27" s="106"/>
      <c r="CE27" s="95"/>
      <c r="CF27" s="96"/>
      <c r="CG27" s="95"/>
      <c r="CH27" s="96"/>
      <c r="CI27" s="95"/>
      <c r="CJ27" s="96">
        <v>1</v>
      </c>
      <c r="CK27" s="95">
        <v>230</v>
      </c>
      <c r="CL27" s="100"/>
      <c r="CM27" s="95"/>
      <c r="CN27" s="107"/>
      <c r="CO27" s="93"/>
      <c r="CP27" s="107"/>
      <c r="CQ27" s="107"/>
      <c r="CR27" s="96"/>
      <c r="CS27" s="95"/>
      <c r="CT27" s="96"/>
      <c r="CU27" s="95"/>
      <c r="CV27" s="71"/>
      <c r="CW27" s="70"/>
      <c r="CX27" s="107">
        <v>1</v>
      </c>
      <c r="CY27" s="93">
        <v>500</v>
      </c>
      <c r="CZ27" s="106"/>
      <c r="DA27" s="95"/>
      <c r="DB27" s="108">
        <v>1</v>
      </c>
      <c r="DC27" s="109">
        <v>300</v>
      </c>
      <c r="DD27" s="108"/>
      <c r="DE27" s="109"/>
      <c r="DF27" s="71">
        <f t="shared" si="1"/>
        <v>2</v>
      </c>
      <c r="DG27" s="70">
        <f t="shared" si="2"/>
        <v>800</v>
      </c>
      <c r="DH27" s="110">
        <f t="shared" si="4"/>
        <v>12</v>
      </c>
      <c r="DI27" s="109">
        <f t="shared" si="5"/>
        <v>13980</v>
      </c>
      <c r="DJ27" s="111">
        <f>DH27+28</f>
        <v>40</v>
      </c>
      <c r="DK27" s="109">
        <f>DI27+42960</f>
        <v>56940</v>
      </c>
      <c r="DL27" s="7"/>
      <c r="DM27" s="7"/>
    </row>
    <row r="28" spans="1:117" ht="110.4" hidden="1" x14ac:dyDescent="0.3">
      <c r="A28" s="112" t="s">
        <v>152</v>
      </c>
      <c r="B28" s="113"/>
      <c r="C28" s="114"/>
      <c r="D28" s="115"/>
      <c r="E28" s="116"/>
      <c r="F28" s="117"/>
      <c r="G28" s="116"/>
      <c r="H28" s="117"/>
      <c r="I28" s="116"/>
      <c r="J28" s="117"/>
      <c r="K28" s="116"/>
      <c r="L28" s="117"/>
      <c r="M28" s="116"/>
      <c r="N28" s="117"/>
      <c r="O28" s="116"/>
      <c r="P28" s="117"/>
      <c r="Q28" s="116"/>
      <c r="R28" s="117"/>
      <c r="S28" s="116"/>
      <c r="T28" s="118"/>
      <c r="U28" s="116"/>
      <c r="V28" s="119"/>
      <c r="W28" s="116"/>
      <c r="X28" s="120"/>
      <c r="Y28" s="114"/>
      <c r="Z28" s="117"/>
      <c r="AA28" s="116"/>
      <c r="AB28" s="117"/>
      <c r="AC28" s="116"/>
      <c r="AD28" s="121"/>
      <c r="AE28" s="116"/>
      <c r="AF28" s="117"/>
      <c r="AG28" s="116"/>
      <c r="AH28" s="117"/>
      <c r="AI28" s="116"/>
      <c r="AJ28" s="117"/>
      <c r="AK28" s="116"/>
      <c r="AL28" s="117"/>
      <c r="AM28" s="116"/>
      <c r="AN28" s="117"/>
      <c r="AO28" s="116"/>
      <c r="AP28" s="117"/>
      <c r="AQ28" s="116"/>
      <c r="AR28" s="117"/>
      <c r="AS28" s="116"/>
      <c r="AT28" s="117"/>
      <c r="AU28" s="116"/>
      <c r="AV28" s="122"/>
      <c r="AW28" s="116"/>
      <c r="AX28" s="117"/>
      <c r="AY28" s="116"/>
      <c r="AZ28" s="117"/>
      <c r="BA28" s="116"/>
      <c r="BB28" s="117"/>
      <c r="BC28" s="116"/>
      <c r="BD28" s="117"/>
      <c r="BE28" s="116"/>
      <c r="BF28" s="117"/>
      <c r="BG28" s="116"/>
      <c r="BH28" s="117"/>
      <c r="BI28" s="116"/>
      <c r="BJ28" s="123"/>
      <c r="BK28" s="114"/>
      <c r="BL28" s="123"/>
      <c r="BM28" s="114"/>
      <c r="BN28" s="122"/>
      <c r="BO28" s="116"/>
      <c r="BP28" s="124"/>
      <c r="BQ28" s="114"/>
      <c r="BR28" s="125"/>
      <c r="BS28" s="126"/>
      <c r="BT28" s="117"/>
      <c r="BU28" s="114"/>
      <c r="BV28" s="117"/>
      <c r="BW28" s="116"/>
      <c r="BX28" s="121"/>
      <c r="BY28" s="116"/>
      <c r="BZ28" s="117"/>
      <c r="CA28" s="116"/>
      <c r="CB28" s="117"/>
      <c r="CC28" s="116"/>
      <c r="CD28" s="127"/>
      <c r="CE28" s="116"/>
      <c r="CF28" s="117"/>
      <c r="CG28" s="116"/>
      <c r="CH28" s="117"/>
      <c r="CI28" s="116"/>
      <c r="CJ28" s="117"/>
      <c r="CK28" s="116"/>
      <c r="CL28" s="121"/>
      <c r="CM28" s="116"/>
      <c r="CN28" s="128"/>
      <c r="CO28" s="114"/>
      <c r="CP28" s="128"/>
      <c r="CQ28" s="128"/>
      <c r="CR28" s="117"/>
      <c r="CS28" s="116"/>
      <c r="CT28" s="117"/>
      <c r="CU28" s="116"/>
      <c r="CV28" s="71"/>
      <c r="CW28" s="70"/>
      <c r="CX28" s="128"/>
      <c r="CY28" s="114"/>
      <c r="CZ28" s="127"/>
      <c r="DA28" s="116"/>
      <c r="DB28" s="129"/>
      <c r="DC28" s="130"/>
      <c r="DD28" s="129"/>
      <c r="DE28" s="130"/>
      <c r="DF28" s="71">
        <f t="shared" si="1"/>
        <v>0</v>
      </c>
      <c r="DG28" s="70">
        <f t="shared" si="2"/>
        <v>0</v>
      </c>
      <c r="DH28" s="131"/>
      <c r="DI28" s="130"/>
      <c r="DJ28" s="132"/>
      <c r="DK28" s="133"/>
      <c r="DL28" s="7"/>
      <c r="DM28" s="7"/>
    </row>
    <row r="29" spans="1:117" ht="27.6" hidden="1" x14ac:dyDescent="0.3">
      <c r="A29" s="134" t="s">
        <v>153</v>
      </c>
      <c r="B29" s="135"/>
      <c r="C29" s="136"/>
      <c r="D29" s="137"/>
      <c r="E29" s="138"/>
      <c r="F29" s="139"/>
      <c r="G29" s="138"/>
      <c r="H29" s="139"/>
      <c r="I29" s="138"/>
      <c r="J29" s="139"/>
      <c r="K29" s="138"/>
      <c r="L29" s="139"/>
      <c r="M29" s="138"/>
      <c r="N29" s="139"/>
      <c r="O29" s="138"/>
      <c r="P29" s="139"/>
      <c r="Q29" s="138"/>
      <c r="R29" s="139"/>
      <c r="S29" s="138"/>
      <c r="T29" s="140"/>
      <c r="U29" s="138"/>
      <c r="V29" s="141"/>
      <c r="W29" s="138"/>
      <c r="X29" s="142"/>
      <c r="Y29" s="136"/>
      <c r="Z29" s="139"/>
      <c r="AA29" s="138"/>
      <c r="AB29" s="139"/>
      <c r="AC29" s="138"/>
      <c r="AD29" s="143"/>
      <c r="AE29" s="138"/>
      <c r="AF29" s="139"/>
      <c r="AG29" s="138"/>
      <c r="AH29" s="139"/>
      <c r="AI29" s="138"/>
      <c r="AJ29" s="139"/>
      <c r="AK29" s="138"/>
      <c r="AL29" s="139"/>
      <c r="AM29" s="138"/>
      <c r="AN29" s="139"/>
      <c r="AO29" s="138"/>
      <c r="AP29" s="139"/>
      <c r="AQ29" s="138"/>
      <c r="AR29" s="139"/>
      <c r="AS29" s="138"/>
      <c r="AT29" s="139"/>
      <c r="AU29" s="138"/>
      <c r="AV29" s="144"/>
      <c r="AW29" s="138"/>
      <c r="AX29" s="139"/>
      <c r="AY29" s="138"/>
      <c r="AZ29" s="139"/>
      <c r="BA29" s="138"/>
      <c r="BB29" s="139"/>
      <c r="BC29" s="138"/>
      <c r="BD29" s="139"/>
      <c r="BE29" s="138"/>
      <c r="BF29" s="139"/>
      <c r="BG29" s="138"/>
      <c r="BH29" s="139"/>
      <c r="BI29" s="138"/>
      <c r="BJ29" s="145"/>
      <c r="BK29" s="136"/>
      <c r="BL29" s="145"/>
      <c r="BM29" s="136"/>
      <c r="BN29" s="144"/>
      <c r="BO29" s="138"/>
      <c r="BP29" s="146"/>
      <c r="BQ29" s="136"/>
      <c r="BR29" s="147"/>
      <c r="BS29" s="148"/>
      <c r="BT29" s="139"/>
      <c r="BU29" s="136"/>
      <c r="BV29" s="139"/>
      <c r="BW29" s="138"/>
      <c r="BX29" s="143"/>
      <c r="BY29" s="138"/>
      <c r="BZ29" s="139"/>
      <c r="CA29" s="138"/>
      <c r="CB29" s="139"/>
      <c r="CC29" s="138"/>
      <c r="CD29" s="149"/>
      <c r="CE29" s="138"/>
      <c r="CF29" s="139"/>
      <c r="CG29" s="138"/>
      <c r="CH29" s="139"/>
      <c r="CI29" s="138"/>
      <c r="CJ29" s="139"/>
      <c r="CK29" s="138"/>
      <c r="CL29" s="143"/>
      <c r="CM29" s="138"/>
      <c r="CN29" s="150"/>
      <c r="CO29" s="136"/>
      <c r="CP29" s="150"/>
      <c r="CQ29" s="150"/>
      <c r="CR29" s="139"/>
      <c r="CS29" s="138"/>
      <c r="CT29" s="139"/>
      <c r="CU29" s="138"/>
      <c r="CV29" s="71"/>
      <c r="CW29" s="70"/>
      <c r="CX29" s="150"/>
      <c r="CY29" s="136"/>
      <c r="CZ29" s="149"/>
      <c r="DA29" s="138"/>
      <c r="DB29" s="151"/>
      <c r="DC29" s="152"/>
      <c r="DD29" s="151"/>
      <c r="DE29" s="152"/>
      <c r="DF29" s="71">
        <f t="shared" si="1"/>
        <v>0</v>
      </c>
      <c r="DG29" s="70">
        <f t="shared" si="2"/>
        <v>0</v>
      </c>
      <c r="DH29" s="153"/>
      <c r="DI29" s="152"/>
      <c r="DJ29" s="154"/>
      <c r="DK29" s="155"/>
      <c r="DL29" s="7"/>
      <c r="DM29" s="7"/>
    </row>
    <row r="30" spans="1:117" hidden="1" x14ac:dyDescent="0.3">
      <c r="A30" s="156" t="s">
        <v>154</v>
      </c>
      <c r="B30" s="157"/>
      <c r="C30" s="158"/>
      <c r="D30" s="159"/>
      <c r="E30" s="160"/>
      <c r="F30" s="161"/>
      <c r="G30" s="160"/>
      <c r="H30" s="161"/>
      <c r="I30" s="160"/>
      <c r="J30" s="161"/>
      <c r="K30" s="160"/>
      <c r="L30" s="161"/>
      <c r="M30" s="160"/>
      <c r="N30" s="161"/>
      <c r="O30" s="160"/>
      <c r="P30" s="161"/>
      <c r="Q30" s="160"/>
      <c r="R30" s="161"/>
      <c r="S30" s="160"/>
      <c r="T30" s="162"/>
      <c r="U30" s="160"/>
      <c r="V30" s="163"/>
      <c r="W30" s="160"/>
      <c r="X30" s="164"/>
      <c r="Y30" s="158"/>
      <c r="Z30" s="161"/>
      <c r="AA30" s="160"/>
      <c r="AB30" s="161"/>
      <c r="AC30" s="160"/>
      <c r="AD30" s="165"/>
      <c r="AE30" s="160"/>
      <c r="AF30" s="161"/>
      <c r="AG30" s="160"/>
      <c r="AH30" s="161"/>
      <c r="AI30" s="160"/>
      <c r="AJ30" s="161"/>
      <c r="AK30" s="160"/>
      <c r="AL30" s="161"/>
      <c r="AM30" s="160"/>
      <c r="AN30" s="161"/>
      <c r="AO30" s="160"/>
      <c r="AP30" s="161"/>
      <c r="AQ30" s="160"/>
      <c r="AR30" s="161"/>
      <c r="AS30" s="160"/>
      <c r="AT30" s="161"/>
      <c r="AU30" s="160"/>
      <c r="AV30" s="166"/>
      <c r="AW30" s="160"/>
      <c r="AX30" s="161"/>
      <c r="AY30" s="160"/>
      <c r="AZ30" s="161"/>
      <c r="BA30" s="160"/>
      <c r="BB30" s="161"/>
      <c r="BC30" s="160"/>
      <c r="BD30" s="161"/>
      <c r="BE30" s="160"/>
      <c r="BF30" s="161"/>
      <c r="BG30" s="160"/>
      <c r="BH30" s="161"/>
      <c r="BI30" s="160"/>
      <c r="BJ30" s="161"/>
      <c r="BK30" s="160"/>
      <c r="BL30" s="161"/>
      <c r="BM30" s="160"/>
      <c r="BN30" s="166"/>
      <c r="BO30" s="160"/>
      <c r="BP30" s="167"/>
      <c r="BQ30" s="158"/>
      <c r="BR30" s="168"/>
      <c r="BS30" s="169"/>
      <c r="BT30" s="161"/>
      <c r="BU30" s="158"/>
      <c r="BV30" s="161"/>
      <c r="BW30" s="160"/>
      <c r="BX30" s="165"/>
      <c r="BY30" s="160"/>
      <c r="BZ30" s="161"/>
      <c r="CA30" s="160"/>
      <c r="CB30" s="161"/>
      <c r="CC30" s="160"/>
      <c r="CD30" s="170"/>
      <c r="CE30" s="160"/>
      <c r="CF30" s="161"/>
      <c r="CG30" s="160"/>
      <c r="CH30" s="161"/>
      <c r="CI30" s="160"/>
      <c r="CJ30" s="161"/>
      <c r="CK30" s="160"/>
      <c r="CL30" s="165"/>
      <c r="CM30" s="160"/>
      <c r="CN30" s="171"/>
      <c r="CO30" s="158"/>
      <c r="CP30" s="171"/>
      <c r="CQ30" s="171"/>
      <c r="CR30" s="161"/>
      <c r="CS30" s="160"/>
      <c r="CT30" s="161"/>
      <c r="CU30" s="160"/>
      <c r="CV30" s="71"/>
      <c r="CW30" s="70"/>
      <c r="CX30" s="171"/>
      <c r="CY30" s="158"/>
      <c r="CZ30" s="170"/>
      <c r="DA30" s="160"/>
      <c r="DB30" s="172"/>
      <c r="DC30" s="173"/>
      <c r="DD30" s="172"/>
      <c r="DE30" s="173"/>
      <c r="DF30" s="71">
        <f t="shared" si="1"/>
        <v>0</v>
      </c>
      <c r="DG30" s="70">
        <f t="shared" si="2"/>
        <v>0</v>
      </c>
      <c r="DH30" s="174">
        <f t="shared" si="4"/>
        <v>0</v>
      </c>
      <c r="DI30" s="173">
        <f t="shared" si="5"/>
        <v>0</v>
      </c>
      <c r="DJ30" s="175">
        <f>DH30+19</f>
        <v>19</v>
      </c>
      <c r="DK30" s="173">
        <f>DI30+31000</f>
        <v>31000</v>
      </c>
      <c r="DL30" s="7"/>
      <c r="DM30" s="7"/>
    </row>
    <row r="31" spans="1:117" x14ac:dyDescent="0.3">
      <c r="A31" s="79" t="s">
        <v>155</v>
      </c>
      <c r="B31" s="69">
        <v>2</v>
      </c>
      <c r="C31" s="70">
        <v>5350</v>
      </c>
      <c r="D31" s="80">
        <v>1</v>
      </c>
      <c r="E31" s="81">
        <v>400</v>
      </c>
      <c r="F31" s="82">
        <v>1</v>
      </c>
      <c r="G31" s="81">
        <v>500</v>
      </c>
      <c r="H31" s="82">
        <v>4</v>
      </c>
      <c r="I31" s="81">
        <v>1450</v>
      </c>
      <c r="J31" s="82">
        <v>3</v>
      </c>
      <c r="K31" s="81">
        <v>900</v>
      </c>
      <c r="L31" s="82"/>
      <c r="M31" s="81"/>
      <c r="N31" s="82">
        <v>2</v>
      </c>
      <c r="O31" s="81">
        <v>3000</v>
      </c>
      <c r="P31" s="82">
        <v>2</v>
      </c>
      <c r="Q31" s="81">
        <v>600</v>
      </c>
      <c r="R31" s="82"/>
      <c r="S31" s="81"/>
      <c r="T31" s="83">
        <v>3</v>
      </c>
      <c r="U31" s="81">
        <v>765</v>
      </c>
      <c r="V31" s="84">
        <v>2</v>
      </c>
      <c r="W31" s="81">
        <v>800</v>
      </c>
      <c r="X31" s="73">
        <v>3</v>
      </c>
      <c r="Y31" s="70">
        <v>760</v>
      </c>
      <c r="Z31" s="82">
        <v>1</v>
      </c>
      <c r="AA31" s="81">
        <v>400</v>
      </c>
      <c r="AB31" s="82">
        <v>3</v>
      </c>
      <c r="AC31" s="81">
        <v>1050</v>
      </c>
      <c r="AD31" s="85">
        <v>7</v>
      </c>
      <c r="AE31" s="81">
        <v>2160</v>
      </c>
      <c r="AF31" s="82">
        <v>5</v>
      </c>
      <c r="AG31" s="81">
        <v>2520</v>
      </c>
      <c r="AH31" s="82">
        <v>1</v>
      </c>
      <c r="AI31" s="81">
        <v>300</v>
      </c>
      <c r="AJ31" s="82">
        <v>3</v>
      </c>
      <c r="AK31" s="81">
        <v>1300</v>
      </c>
      <c r="AL31" s="82">
        <v>2</v>
      </c>
      <c r="AM31" s="81">
        <v>600</v>
      </c>
      <c r="AN31" s="82">
        <v>2</v>
      </c>
      <c r="AO31" s="81">
        <v>800</v>
      </c>
      <c r="AP31" s="82">
        <v>1</v>
      </c>
      <c r="AQ31" s="81">
        <v>280</v>
      </c>
      <c r="AR31" s="82">
        <v>2</v>
      </c>
      <c r="AS31" s="81">
        <v>600</v>
      </c>
      <c r="AT31" s="82">
        <v>1</v>
      </c>
      <c r="AU31" s="81">
        <v>300</v>
      </c>
      <c r="AV31" s="86">
        <v>2</v>
      </c>
      <c r="AW31" s="81">
        <v>600</v>
      </c>
      <c r="AX31" s="82">
        <v>4</v>
      </c>
      <c r="AY31" s="81">
        <v>2600</v>
      </c>
      <c r="AZ31" s="82">
        <v>1</v>
      </c>
      <c r="BA31" s="81">
        <v>350</v>
      </c>
      <c r="BB31" s="82">
        <v>4</v>
      </c>
      <c r="BC31" s="81">
        <v>1200</v>
      </c>
      <c r="BD31" s="82">
        <v>3</v>
      </c>
      <c r="BE31" s="81">
        <v>750</v>
      </c>
      <c r="BF31" s="82">
        <v>2</v>
      </c>
      <c r="BG31" s="81">
        <v>750</v>
      </c>
      <c r="BH31" s="82">
        <v>2</v>
      </c>
      <c r="BI31" s="81">
        <v>2800</v>
      </c>
      <c r="BJ31" s="82">
        <v>2</v>
      </c>
      <c r="BK31" s="81">
        <v>800</v>
      </c>
      <c r="BL31" s="82">
        <v>3</v>
      </c>
      <c r="BM31" s="81">
        <v>1150</v>
      </c>
      <c r="BN31" s="86">
        <v>4</v>
      </c>
      <c r="BO31" s="81">
        <v>1380</v>
      </c>
      <c r="BP31" s="72">
        <v>3</v>
      </c>
      <c r="BQ31" s="70">
        <v>1100</v>
      </c>
      <c r="BR31" s="87">
        <v>3</v>
      </c>
      <c r="BS31" s="88">
        <v>1300</v>
      </c>
      <c r="BT31" s="82"/>
      <c r="BU31" s="70"/>
      <c r="BV31" s="82">
        <v>2</v>
      </c>
      <c r="BW31" s="81">
        <v>1000</v>
      </c>
      <c r="BX31" s="85">
        <v>1</v>
      </c>
      <c r="BY31" s="81">
        <v>300</v>
      </c>
      <c r="BZ31" s="82"/>
      <c r="CA31" s="81"/>
      <c r="CB31" s="82">
        <v>2</v>
      </c>
      <c r="CC31" s="81">
        <v>600</v>
      </c>
      <c r="CD31" s="79">
        <v>2</v>
      </c>
      <c r="CE31" s="81">
        <v>600</v>
      </c>
      <c r="CF31" s="82">
        <v>1</v>
      </c>
      <c r="CG31" s="81">
        <v>300</v>
      </c>
      <c r="CH31" s="82">
        <v>2</v>
      </c>
      <c r="CI31" s="81">
        <v>750</v>
      </c>
      <c r="CJ31" s="82">
        <v>3</v>
      </c>
      <c r="CK31" s="81">
        <v>730</v>
      </c>
      <c r="CL31" s="85">
        <v>4</v>
      </c>
      <c r="CM31" s="81">
        <v>1600</v>
      </c>
      <c r="CN31" s="74">
        <v>5</v>
      </c>
      <c r="CO31" s="70">
        <v>1970</v>
      </c>
      <c r="CP31" s="74">
        <v>3</v>
      </c>
      <c r="CQ31" s="74">
        <v>980</v>
      </c>
      <c r="CR31" s="82">
        <v>1</v>
      </c>
      <c r="CS31" s="81">
        <v>900</v>
      </c>
      <c r="CT31" s="82">
        <v>2</v>
      </c>
      <c r="CU31" s="81">
        <v>600</v>
      </c>
      <c r="CV31" s="71"/>
      <c r="CW31" s="70"/>
      <c r="CX31" s="74">
        <v>3</v>
      </c>
      <c r="CY31" s="70">
        <v>1000</v>
      </c>
      <c r="CZ31" s="79">
        <v>3</v>
      </c>
      <c r="DA31" s="81">
        <v>1300</v>
      </c>
      <c r="DB31" s="66">
        <v>5</v>
      </c>
      <c r="DC31" s="76">
        <v>1620</v>
      </c>
      <c r="DD31" s="66">
        <v>8</v>
      </c>
      <c r="DE31" s="76">
        <v>3280</v>
      </c>
      <c r="DF31" s="71">
        <f t="shared" si="1"/>
        <v>19</v>
      </c>
      <c r="DG31" s="70">
        <f t="shared" si="1"/>
        <v>7200</v>
      </c>
      <c r="DH31" s="75">
        <f>1+B31+CZ31+DB31+D31+F31+H31+J31+L31+N31+P31+R31+T31+V31+X31+Z31+AB31+AD31+AF31+AH31+AJ31+AL31+AN31+AP31+AR31+AT31+AV31+AX31+AZ31+BB31+BD31+BF31+BH31+BJ31+BL31+BN31+BP31+BR31+BT31+BV31+BX31+BZ31+CB31+CD31+CF31+CH31+CJ31+CL31+CP31+CR31+CT31+CV31+CX31+CN31+DD31</f>
        <v>132</v>
      </c>
      <c r="DI31" s="76">
        <f>2600+C31+DA31+DC31+E31+G31+I31+K31+M31+O31+Q31+S31+U31+W31+Y31+AA31+AC31+AE31+AG31+AI31+AK31+AM31+AO31+AQ31+AS31+AU31+AW31+AY31+BA31+BC31+BE31+BG31+BI31+BK31+BM31+BO31+BQ31+BS31+BU31+BW31+BY31+CA31+CC31+CE31+CG31+CI31+CK31+CM31+CQ31+CS31+CU31+CW31+CY31+CO31+DE31</f>
        <v>59745</v>
      </c>
      <c r="DJ31" s="77">
        <f>DH31+470</f>
        <v>602</v>
      </c>
      <c r="DK31" s="76">
        <f>DI31+401009</f>
        <v>460754</v>
      </c>
      <c r="DL31" s="7"/>
      <c r="DM31" s="7"/>
    </row>
    <row r="32" spans="1:117" hidden="1" x14ac:dyDescent="0.3">
      <c r="A32" s="176" t="s">
        <v>156</v>
      </c>
      <c r="B32" s="69"/>
      <c r="C32" s="70"/>
      <c r="D32" s="80"/>
      <c r="E32" s="81"/>
      <c r="F32" s="82"/>
      <c r="G32" s="81"/>
      <c r="H32" s="82"/>
      <c r="I32" s="81"/>
      <c r="J32" s="82"/>
      <c r="K32" s="81"/>
      <c r="L32" s="82"/>
      <c r="M32" s="81"/>
      <c r="N32" s="82"/>
      <c r="O32" s="81"/>
      <c r="P32" s="82"/>
      <c r="Q32" s="81"/>
      <c r="R32" s="82"/>
      <c r="S32" s="81"/>
      <c r="T32" s="83"/>
      <c r="U32" s="81"/>
      <c r="V32" s="84"/>
      <c r="W32" s="81"/>
      <c r="X32" s="84"/>
      <c r="Y32" s="81"/>
      <c r="Z32" s="82"/>
      <c r="AA32" s="81"/>
      <c r="AB32" s="82"/>
      <c r="AC32" s="81"/>
      <c r="AD32" s="85"/>
      <c r="AE32" s="81"/>
      <c r="AF32" s="82"/>
      <c r="AG32" s="81"/>
      <c r="AH32" s="82"/>
      <c r="AI32" s="81"/>
      <c r="AJ32" s="82"/>
      <c r="AK32" s="81"/>
      <c r="AL32" s="82"/>
      <c r="AM32" s="81"/>
      <c r="AN32" s="82"/>
      <c r="AO32" s="81"/>
      <c r="AP32" s="82"/>
      <c r="AQ32" s="81"/>
      <c r="AR32" s="82"/>
      <c r="AS32" s="81"/>
      <c r="AT32" s="82"/>
      <c r="AU32" s="81"/>
      <c r="AV32" s="86"/>
      <c r="AW32" s="81"/>
      <c r="AX32" s="82"/>
      <c r="AY32" s="81"/>
      <c r="AZ32" s="82"/>
      <c r="BA32" s="81"/>
      <c r="BB32" s="82"/>
      <c r="BC32" s="81"/>
      <c r="BD32" s="82"/>
      <c r="BE32" s="81"/>
      <c r="BF32" s="82"/>
      <c r="BG32" s="81"/>
      <c r="BH32" s="82"/>
      <c r="BI32" s="81"/>
      <c r="BJ32" s="82"/>
      <c r="BK32" s="81"/>
      <c r="BL32" s="82"/>
      <c r="BM32" s="81"/>
      <c r="BN32" s="86"/>
      <c r="BO32" s="81"/>
      <c r="BP32" s="177"/>
      <c r="BQ32" s="81"/>
      <c r="BR32" s="87"/>
      <c r="BS32" s="88"/>
      <c r="BT32" s="82"/>
      <c r="BU32" s="70"/>
      <c r="BV32" s="82"/>
      <c r="BW32" s="81"/>
      <c r="BX32" s="85"/>
      <c r="BY32" s="81"/>
      <c r="BZ32" s="82"/>
      <c r="CA32" s="81"/>
      <c r="CB32" s="82"/>
      <c r="CC32" s="81"/>
      <c r="CD32" s="79">
        <v>2</v>
      </c>
      <c r="CE32" s="81">
        <v>4200</v>
      </c>
      <c r="CF32" s="82"/>
      <c r="CG32" s="81"/>
      <c r="CH32" s="82"/>
      <c r="CI32" s="81"/>
      <c r="CJ32" s="82">
        <v>1</v>
      </c>
      <c r="CK32" s="81">
        <v>200</v>
      </c>
      <c r="CL32" s="85">
        <v>1</v>
      </c>
      <c r="CM32" s="81">
        <v>2000</v>
      </c>
      <c r="CN32" s="74"/>
      <c r="CO32" s="70"/>
      <c r="CP32" s="74">
        <v>1</v>
      </c>
      <c r="CQ32" s="74">
        <v>3000</v>
      </c>
      <c r="CR32" s="82"/>
      <c r="CS32" s="81"/>
      <c r="CT32" s="82">
        <v>2</v>
      </c>
      <c r="CU32" s="81">
        <v>4650</v>
      </c>
      <c r="CV32" s="71"/>
      <c r="CW32" s="70"/>
      <c r="CX32" s="74">
        <v>1</v>
      </c>
      <c r="CY32" s="70">
        <v>1300</v>
      </c>
      <c r="CZ32" s="79"/>
      <c r="DA32" s="81"/>
      <c r="DB32" s="66"/>
      <c r="DC32" s="76"/>
      <c r="DD32" s="66">
        <v>2</v>
      </c>
      <c r="DE32" s="76">
        <v>3500</v>
      </c>
      <c r="DF32" s="71">
        <f t="shared" si="1"/>
        <v>3</v>
      </c>
      <c r="DG32" s="70">
        <f t="shared" si="1"/>
        <v>4800</v>
      </c>
      <c r="DH32" s="75">
        <f>9+B32+CZ32+DB32+D32+F32+H32+J32+L32+N32+P32+R32+T32+V32+X32+Z32+AB32+AD32+AF32+AH32+AJ32+AL32+AN32+AP32+AR32+AT32+AV32+AX32+AZ32+BB32+BD32+BF32+BH32+BJ32+BL32+BN32+BP32+BR32+BT32+BV32+BX32+BZ32+CB32+CD32+CF32+CH32+CJ32+CL32+CP32+CR32+CT32+CV32+CX32+CN32+DD32</f>
        <v>19</v>
      </c>
      <c r="DI32" s="76">
        <f>13818+C32+DA32+DC32+E32+G32+I32+K32+M32+O32+Q32+S32+U32+W32+Y32+AA32+AC32+AE32+AG32+AI32+AK32+AM32+AO32+AQ32+AS32+AU32+AW32+AY32+BA32+BC32+BE32+BG32+BI32+BK32+BM32+BO32+BQ32+BS32+BU32+BW32+BY32+CA32+CC32+CE32+CG32+CI32+CK32+CM32+CQ32+CS32+CU32+CW32+CY32+CO32+DE32</f>
        <v>32668</v>
      </c>
      <c r="DJ32" s="77">
        <f>2+DH32</f>
        <v>21</v>
      </c>
      <c r="DK32" s="76">
        <f>1370+DI32</f>
        <v>34038</v>
      </c>
      <c r="DL32" s="7"/>
      <c r="DM32" s="7"/>
    </row>
    <row r="33" spans="1:117" ht="45" customHeight="1" x14ac:dyDescent="0.3">
      <c r="A33" s="106" t="s">
        <v>157</v>
      </c>
      <c r="B33" s="92"/>
      <c r="C33" s="93"/>
      <c r="D33" s="94">
        <v>1</v>
      </c>
      <c r="E33" s="95">
        <v>5000</v>
      </c>
      <c r="F33" s="96"/>
      <c r="G33" s="95"/>
      <c r="H33" s="96"/>
      <c r="I33" s="95"/>
      <c r="J33" s="96">
        <v>2</v>
      </c>
      <c r="K33" s="95">
        <v>7040</v>
      </c>
      <c r="L33" s="96">
        <v>2</v>
      </c>
      <c r="M33" s="95">
        <v>4860</v>
      </c>
      <c r="N33" s="96">
        <v>1</v>
      </c>
      <c r="O33" s="95">
        <v>2500</v>
      </c>
      <c r="P33" s="96"/>
      <c r="Q33" s="95"/>
      <c r="R33" s="96"/>
      <c r="S33" s="95"/>
      <c r="T33" s="97">
        <v>1</v>
      </c>
      <c r="U33" s="95">
        <v>4500</v>
      </c>
      <c r="V33" s="98"/>
      <c r="W33" s="95"/>
      <c r="X33" s="98"/>
      <c r="Y33" s="95"/>
      <c r="Z33" s="96"/>
      <c r="AA33" s="95"/>
      <c r="AB33" s="96"/>
      <c r="AC33" s="95"/>
      <c r="AD33" s="100"/>
      <c r="AE33" s="95"/>
      <c r="AF33" s="96"/>
      <c r="AG33" s="95"/>
      <c r="AH33" s="96"/>
      <c r="AI33" s="95"/>
      <c r="AJ33" s="96"/>
      <c r="AK33" s="95"/>
      <c r="AL33" s="96">
        <v>1</v>
      </c>
      <c r="AM33" s="95">
        <v>2300</v>
      </c>
      <c r="AN33" s="96"/>
      <c r="AO33" s="95"/>
      <c r="AP33" s="96"/>
      <c r="AQ33" s="95"/>
      <c r="AR33" s="96"/>
      <c r="AS33" s="95"/>
      <c r="AT33" s="96"/>
      <c r="AU33" s="95"/>
      <c r="AV33" s="101">
        <v>1</v>
      </c>
      <c r="AW33" s="95">
        <v>2600</v>
      </c>
      <c r="AX33" s="96"/>
      <c r="AY33" s="95"/>
      <c r="AZ33" s="96"/>
      <c r="BA33" s="95"/>
      <c r="BB33" s="96"/>
      <c r="BC33" s="95"/>
      <c r="BD33" s="96">
        <v>1</v>
      </c>
      <c r="BE33" s="95">
        <v>1000</v>
      </c>
      <c r="BF33" s="96"/>
      <c r="BG33" s="95"/>
      <c r="BH33" s="96"/>
      <c r="BI33" s="95"/>
      <c r="BJ33" s="96"/>
      <c r="BK33" s="95"/>
      <c r="BL33" s="96">
        <v>1</v>
      </c>
      <c r="BM33" s="95">
        <v>3000</v>
      </c>
      <c r="BN33" s="101"/>
      <c r="BO33" s="95"/>
      <c r="BP33" s="178"/>
      <c r="BQ33" s="95"/>
      <c r="BR33" s="104"/>
      <c r="BS33" s="105"/>
      <c r="BT33" s="96"/>
      <c r="BU33" s="93"/>
      <c r="BV33" s="96"/>
      <c r="BW33" s="95"/>
      <c r="BX33" s="100"/>
      <c r="BY33" s="95"/>
      <c r="BZ33" s="96"/>
      <c r="CA33" s="95"/>
      <c r="CB33" s="96"/>
      <c r="CC33" s="95"/>
      <c r="CD33" s="106">
        <v>1</v>
      </c>
      <c r="CE33" s="95">
        <v>3000</v>
      </c>
      <c r="CF33" s="96"/>
      <c r="CG33" s="95"/>
      <c r="CH33" s="96"/>
      <c r="CI33" s="95"/>
      <c r="CJ33" s="96"/>
      <c r="CK33" s="95"/>
      <c r="CL33" s="100"/>
      <c r="CM33" s="95"/>
      <c r="CN33" s="107"/>
      <c r="CO33" s="93"/>
      <c r="CP33" s="107"/>
      <c r="CQ33" s="107"/>
      <c r="CR33" s="96"/>
      <c r="CS33" s="95"/>
      <c r="CT33" s="96">
        <v>2</v>
      </c>
      <c r="CU33" s="95">
        <v>4520</v>
      </c>
      <c r="CV33" s="71"/>
      <c r="CW33" s="70"/>
      <c r="CX33" s="107">
        <v>1</v>
      </c>
      <c r="CY33" s="93">
        <v>2000</v>
      </c>
      <c r="CZ33" s="106">
        <v>1</v>
      </c>
      <c r="DA33" s="95">
        <v>1690</v>
      </c>
      <c r="DB33" s="108"/>
      <c r="DC33" s="109"/>
      <c r="DD33" s="108"/>
      <c r="DE33" s="109"/>
      <c r="DF33" s="71">
        <f t="shared" si="1"/>
        <v>2</v>
      </c>
      <c r="DG33" s="70">
        <f t="shared" si="1"/>
        <v>3690</v>
      </c>
      <c r="DH33" s="110">
        <f t="shared" ref="DH33:DI36" si="6">B33+CZ33+DB33+D33+F33+H33+J33+L33+N33+P33+R33+T33+V33+X33+Z33+AB33+AD33+AF33+AH33+AJ33+AL33+AN33+AP33+AR33+AT33+AV33+AX33+AZ33+BB33+BD33+BF33+BH33+BJ33+BL33+BN33+BP33+BR33+BT33+BV33+BX33+BZ33+CB33+CD33+CF33+CH33+CJ33+CL33+CP33+CR33+CT33+CV33+CX33+CN33+DD33</f>
        <v>16</v>
      </c>
      <c r="DI33" s="109">
        <f t="shared" si="6"/>
        <v>44010</v>
      </c>
      <c r="DJ33" s="111">
        <f>DH33+77</f>
        <v>93</v>
      </c>
      <c r="DK33" s="109">
        <f>DI33+266948</f>
        <v>310958</v>
      </c>
      <c r="DL33" s="7"/>
      <c r="DM33" s="7"/>
    </row>
    <row r="34" spans="1:117" x14ac:dyDescent="0.3">
      <c r="A34" s="179" t="s">
        <v>158</v>
      </c>
      <c r="B34" s="113">
        <v>2</v>
      </c>
      <c r="C34" s="114">
        <v>8000</v>
      </c>
      <c r="D34" s="115">
        <v>3</v>
      </c>
      <c r="E34" s="116">
        <v>13970</v>
      </c>
      <c r="F34" s="117">
        <v>4</v>
      </c>
      <c r="G34" s="116">
        <v>15500</v>
      </c>
      <c r="H34" s="117">
        <v>1</v>
      </c>
      <c r="I34" s="116">
        <v>4000</v>
      </c>
      <c r="J34" s="117">
        <v>5</v>
      </c>
      <c r="K34" s="116">
        <v>19220</v>
      </c>
      <c r="L34" s="117">
        <v>2</v>
      </c>
      <c r="M34" s="116">
        <v>8000</v>
      </c>
      <c r="N34" s="117">
        <v>7</v>
      </c>
      <c r="O34" s="116">
        <v>26300</v>
      </c>
      <c r="P34" s="117">
        <v>2</v>
      </c>
      <c r="Q34" s="116">
        <v>8500</v>
      </c>
      <c r="R34" s="117">
        <v>2</v>
      </c>
      <c r="S34" s="116">
        <v>7811</v>
      </c>
      <c r="T34" s="118">
        <v>5</v>
      </c>
      <c r="U34" s="116">
        <v>20500</v>
      </c>
      <c r="V34" s="119">
        <v>3</v>
      </c>
      <c r="W34" s="116">
        <v>12570</v>
      </c>
      <c r="X34" s="119">
        <v>6</v>
      </c>
      <c r="Y34" s="116">
        <v>21596</v>
      </c>
      <c r="Z34" s="117">
        <v>2</v>
      </c>
      <c r="AA34" s="116">
        <v>7100</v>
      </c>
      <c r="AB34" s="117">
        <v>3</v>
      </c>
      <c r="AC34" s="116">
        <v>11000</v>
      </c>
      <c r="AD34" s="121"/>
      <c r="AE34" s="116"/>
      <c r="AF34" s="117">
        <v>1</v>
      </c>
      <c r="AG34" s="116">
        <v>4000</v>
      </c>
      <c r="AH34" s="117"/>
      <c r="AI34" s="116"/>
      <c r="AJ34" s="117"/>
      <c r="AK34" s="116"/>
      <c r="AL34" s="117"/>
      <c r="AM34" s="116"/>
      <c r="AN34" s="117"/>
      <c r="AO34" s="116"/>
      <c r="AP34" s="117"/>
      <c r="AQ34" s="116"/>
      <c r="AR34" s="117"/>
      <c r="AS34" s="116"/>
      <c r="AT34" s="117"/>
      <c r="AU34" s="116"/>
      <c r="AV34" s="122"/>
      <c r="AW34" s="116"/>
      <c r="AX34" s="117"/>
      <c r="AY34" s="116"/>
      <c r="AZ34" s="117"/>
      <c r="BA34" s="116"/>
      <c r="BB34" s="117"/>
      <c r="BC34" s="116"/>
      <c r="BD34" s="117"/>
      <c r="BE34" s="116"/>
      <c r="BF34" s="117"/>
      <c r="BG34" s="116"/>
      <c r="BH34" s="117"/>
      <c r="BI34" s="116"/>
      <c r="BJ34" s="117"/>
      <c r="BK34" s="116"/>
      <c r="BL34" s="117"/>
      <c r="BM34" s="116"/>
      <c r="BN34" s="122"/>
      <c r="BO34" s="116"/>
      <c r="BP34" s="180"/>
      <c r="BQ34" s="116"/>
      <c r="BR34" s="125"/>
      <c r="BS34" s="125"/>
      <c r="BT34" s="117"/>
      <c r="BU34" s="114"/>
      <c r="BV34" s="117"/>
      <c r="BW34" s="116"/>
      <c r="BX34" s="121"/>
      <c r="BY34" s="116"/>
      <c r="BZ34" s="117"/>
      <c r="CA34" s="116"/>
      <c r="CB34" s="117"/>
      <c r="CC34" s="116"/>
      <c r="CD34" s="127"/>
      <c r="CE34" s="116"/>
      <c r="CF34" s="117"/>
      <c r="CG34" s="116"/>
      <c r="CH34" s="117"/>
      <c r="CI34" s="116"/>
      <c r="CJ34" s="117"/>
      <c r="CK34" s="116"/>
      <c r="CL34" s="121"/>
      <c r="CM34" s="116"/>
      <c r="CN34" s="128"/>
      <c r="CO34" s="114"/>
      <c r="CP34" s="128"/>
      <c r="CQ34" s="128"/>
      <c r="CR34" s="117"/>
      <c r="CS34" s="116"/>
      <c r="CT34" s="117"/>
      <c r="CU34" s="116"/>
      <c r="CV34" s="117"/>
      <c r="CW34" s="116"/>
      <c r="CX34" s="128"/>
      <c r="CY34" s="114"/>
      <c r="CZ34" s="127"/>
      <c r="DA34" s="116"/>
      <c r="DB34" s="129"/>
      <c r="DC34" s="130"/>
      <c r="DD34" s="129"/>
      <c r="DE34" s="130"/>
      <c r="DF34" s="181">
        <f t="shared" si="1"/>
        <v>0</v>
      </c>
      <c r="DG34" s="182">
        <f t="shared" si="1"/>
        <v>0</v>
      </c>
      <c r="DH34" s="131">
        <f t="shared" si="6"/>
        <v>48</v>
      </c>
      <c r="DI34" s="130">
        <f t="shared" si="6"/>
        <v>188067</v>
      </c>
      <c r="DJ34" s="132">
        <f>DH34+650</f>
        <v>698</v>
      </c>
      <c r="DK34" s="133">
        <f>DI34+2919944</f>
        <v>3108011</v>
      </c>
      <c r="DL34" s="7"/>
      <c r="DM34" s="7"/>
    </row>
    <row r="35" spans="1:117" ht="30" customHeight="1" x14ac:dyDescent="0.3">
      <c r="A35" s="183" t="s">
        <v>159</v>
      </c>
      <c r="B35" s="69">
        <v>2</v>
      </c>
      <c r="C35" s="70">
        <v>2850</v>
      </c>
      <c r="D35" s="80"/>
      <c r="E35" s="81"/>
      <c r="F35" s="82">
        <v>3</v>
      </c>
      <c r="G35" s="81">
        <v>6900</v>
      </c>
      <c r="H35" s="82">
        <v>1</v>
      </c>
      <c r="I35" s="81">
        <v>1200</v>
      </c>
      <c r="J35" s="82"/>
      <c r="K35" s="81"/>
      <c r="L35" s="82">
        <v>1</v>
      </c>
      <c r="M35" s="81">
        <v>3000</v>
      </c>
      <c r="N35" s="82">
        <v>3</v>
      </c>
      <c r="O35" s="81">
        <v>5640</v>
      </c>
      <c r="P35" s="82">
        <v>2</v>
      </c>
      <c r="Q35" s="81">
        <v>4100</v>
      </c>
      <c r="R35" s="82">
        <v>2</v>
      </c>
      <c r="S35" s="81">
        <v>3580</v>
      </c>
      <c r="T35" s="83">
        <v>5</v>
      </c>
      <c r="U35" s="81">
        <v>13000</v>
      </c>
      <c r="V35" s="84">
        <v>4</v>
      </c>
      <c r="W35" s="81">
        <v>7900</v>
      </c>
      <c r="X35" s="84">
        <v>3</v>
      </c>
      <c r="Y35" s="81">
        <v>5830</v>
      </c>
      <c r="Z35" s="82">
        <v>2</v>
      </c>
      <c r="AA35" s="81">
        <v>2800</v>
      </c>
      <c r="AB35" s="82">
        <v>4</v>
      </c>
      <c r="AC35" s="81">
        <v>9730</v>
      </c>
      <c r="AD35" s="85">
        <v>3</v>
      </c>
      <c r="AE35" s="81">
        <v>8140</v>
      </c>
      <c r="AF35" s="82">
        <v>9</v>
      </c>
      <c r="AG35" s="81">
        <v>20600</v>
      </c>
      <c r="AH35" s="82"/>
      <c r="AI35" s="81"/>
      <c r="AJ35" s="82">
        <v>7</v>
      </c>
      <c r="AK35" s="81">
        <v>15780</v>
      </c>
      <c r="AL35" s="82">
        <v>4</v>
      </c>
      <c r="AM35" s="81">
        <v>7950</v>
      </c>
      <c r="AN35" s="82">
        <v>4</v>
      </c>
      <c r="AO35" s="81">
        <v>10100</v>
      </c>
      <c r="AP35" s="82">
        <v>4</v>
      </c>
      <c r="AQ35" s="81">
        <v>8440</v>
      </c>
      <c r="AR35" s="82">
        <v>8</v>
      </c>
      <c r="AS35" s="81">
        <v>18050</v>
      </c>
      <c r="AT35" s="82">
        <v>6</v>
      </c>
      <c r="AU35" s="81">
        <v>14540</v>
      </c>
      <c r="AV35" s="86">
        <v>7</v>
      </c>
      <c r="AW35" s="81">
        <v>14300</v>
      </c>
      <c r="AX35" s="82">
        <v>6</v>
      </c>
      <c r="AY35" s="81">
        <v>10450</v>
      </c>
      <c r="AZ35" s="82"/>
      <c r="BA35" s="81"/>
      <c r="BB35" s="82">
        <v>4</v>
      </c>
      <c r="BC35" s="81">
        <v>9800</v>
      </c>
      <c r="BD35" s="82">
        <v>2</v>
      </c>
      <c r="BE35" s="81">
        <v>5000</v>
      </c>
      <c r="BF35" s="82">
        <v>5</v>
      </c>
      <c r="BG35" s="81">
        <v>9400</v>
      </c>
      <c r="BH35" s="82">
        <v>5</v>
      </c>
      <c r="BI35" s="81">
        <v>11500</v>
      </c>
      <c r="BJ35" s="71">
        <v>3</v>
      </c>
      <c r="BK35" s="70">
        <v>5300</v>
      </c>
      <c r="BL35" s="71">
        <v>7</v>
      </c>
      <c r="BM35" s="70">
        <v>19500</v>
      </c>
      <c r="BN35" s="86">
        <v>7</v>
      </c>
      <c r="BO35" s="81">
        <v>16360</v>
      </c>
      <c r="BP35" s="83">
        <v>7</v>
      </c>
      <c r="BQ35" s="184">
        <v>15250</v>
      </c>
      <c r="BR35" s="87">
        <v>4</v>
      </c>
      <c r="BS35" s="185">
        <v>10020</v>
      </c>
      <c r="BT35" s="82"/>
      <c r="BU35" s="70"/>
      <c r="BV35" s="82">
        <v>5</v>
      </c>
      <c r="BW35" s="81">
        <v>10700</v>
      </c>
      <c r="BX35" s="85">
        <v>9</v>
      </c>
      <c r="BY35" s="81">
        <v>21560</v>
      </c>
      <c r="BZ35" s="82">
        <v>4</v>
      </c>
      <c r="CA35" s="81">
        <v>8117</v>
      </c>
      <c r="CB35" s="82">
        <v>3</v>
      </c>
      <c r="CC35" s="81">
        <v>6610</v>
      </c>
      <c r="CD35" s="82">
        <v>7</v>
      </c>
      <c r="CE35" s="81">
        <v>16800</v>
      </c>
      <c r="CF35" s="82">
        <v>5</v>
      </c>
      <c r="CG35" s="81">
        <v>10449</v>
      </c>
      <c r="CH35" s="82">
        <v>3</v>
      </c>
      <c r="CI35" s="81">
        <v>8040</v>
      </c>
      <c r="CJ35" s="82">
        <v>4</v>
      </c>
      <c r="CK35" s="81">
        <v>10500</v>
      </c>
      <c r="CL35" s="85">
        <v>3</v>
      </c>
      <c r="CM35" s="81">
        <v>7350</v>
      </c>
      <c r="CN35" s="74">
        <v>6</v>
      </c>
      <c r="CO35" s="70">
        <v>13300</v>
      </c>
      <c r="CP35" s="74">
        <v>8</v>
      </c>
      <c r="CQ35" s="74">
        <v>23000</v>
      </c>
      <c r="CR35" s="82">
        <v>6</v>
      </c>
      <c r="CS35" s="81">
        <v>14340</v>
      </c>
      <c r="CT35" s="82">
        <v>6</v>
      </c>
      <c r="CU35" s="81">
        <v>16170</v>
      </c>
      <c r="CV35" s="82"/>
      <c r="CW35" s="81"/>
      <c r="CX35" s="74">
        <v>5</v>
      </c>
      <c r="CY35" s="70">
        <v>12300</v>
      </c>
      <c r="CZ35" s="79">
        <v>9</v>
      </c>
      <c r="DA35" s="81">
        <v>22360</v>
      </c>
      <c r="DB35" s="66">
        <v>10</v>
      </c>
      <c r="DC35" s="76">
        <v>25100</v>
      </c>
      <c r="DD35" s="66">
        <v>13</v>
      </c>
      <c r="DE35" s="76">
        <v>34712</v>
      </c>
      <c r="DF35" s="75">
        <f t="shared" si="1"/>
        <v>37</v>
      </c>
      <c r="DG35" s="76">
        <f t="shared" si="1"/>
        <v>94472</v>
      </c>
      <c r="DH35" s="75">
        <f t="shared" si="6"/>
        <v>240</v>
      </c>
      <c r="DI35" s="76">
        <f t="shared" si="6"/>
        <v>558418</v>
      </c>
      <c r="DJ35" s="77">
        <f>DH35+1121</f>
        <v>1361</v>
      </c>
      <c r="DK35" s="186">
        <f>DI35+2373073.3</f>
        <v>2931491.3</v>
      </c>
      <c r="DL35" s="7"/>
      <c r="DM35" s="7"/>
    </row>
    <row r="36" spans="1:117" ht="28.5" customHeight="1" x14ac:dyDescent="0.3">
      <c r="A36" s="183" t="s">
        <v>160</v>
      </c>
      <c r="B36" s="69"/>
      <c r="C36" s="70"/>
      <c r="D36" s="80">
        <v>2</v>
      </c>
      <c r="E36" s="81">
        <v>950</v>
      </c>
      <c r="F36" s="82">
        <v>2</v>
      </c>
      <c r="G36" s="81">
        <v>1400</v>
      </c>
      <c r="H36" s="82">
        <v>6</v>
      </c>
      <c r="I36" s="81">
        <v>2950</v>
      </c>
      <c r="J36" s="82">
        <v>4</v>
      </c>
      <c r="K36" s="81">
        <v>1740</v>
      </c>
      <c r="L36" s="82">
        <v>4</v>
      </c>
      <c r="M36" s="81">
        <v>3478</v>
      </c>
      <c r="N36" s="82">
        <v>1</v>
      </c>
      <c r="O36" s="81">
        <v>500</v>
      </c>
      <c r="P36" s="82">
        <v>4</v>
      </c>
      <c r="Q36" s="81">
        <v>2400</v>
      </c>
      <c r="R36" s="82"/>
      <c r="S36" s="81"/>
      <c r="T36" s="83">
        <v>6</v>
      </c>
      <c r="U36" s="81">
        <v>3065</v>
      </c>
      <c r="V36" s="84">
        <v>5</v>
      </c>
      <c r="W36" s="81">
        <v>2800</v>
      </c>
      <c r="X36" s="84">
        <v>3</v>
      </c>
      <c r="Y36" s="81">
        <v>760</v>
      </c>
      <c r="Z36" s="82">
        <v>2</v>
      </c>
      <c r="AA36" s="81">
        <v>1100</v>
      </c>
      <c r="AB36" s="82">
        <v>3</v>
      </c>
      <c r="AC36" s="81">
        <v>1050</v>
      </c>
      <c r="AD36" s="85">
        <v>9</v>
      </c>
      <c r="AE36" s="81">
        <v>3560</v>
      </c>
      <c r="AF36" s="82">
        <v>6</v>
      </c>
      <c r="AG36" s="81">
        <v>3190</v>
      </c>
      <c r="AH36" s="82">
        <v>2</v>
      </c>
      <c r="AI36" s="81">
        <v>1200</v>
      </c>
      <c r="AJ36" s="82">
        <v>4</v>
      </c>
      <c r="AK36" s="81">
        <v>2260</v>
      </c>
      <c r="AL36" s="82">
        <v>3</v>
      </c>
      <c r="AM36" s="81">
        <v>1500</v>
      </c>
      <c r="AN36" s="82">
        <v>4</v>
      </c>
      <c r="AO36" s="81">
        <v>1500</v>
      </c>
      <c r="AP36" s="82">
        <v>2</v>
      </c>
      <c r="AQ36" s="81">
        <v>1280</v>
      </c>
      <c r="AR36" s="82">
        <v>2</v>
      </c>
      <c r="AS36" s="81">
        <v>600</v>
      </c>
      <c r="AT36" s="82">
        <v>1</v>
      </c>
      <c r="AU36" s="81">
        <v>300</v>
      </c>
      <c r="AV36" s="86">
        <v>3</v>
      </c>
      <c r="AW36" s="81">
        <v>1028</v>
      </c>
      <c r="AX36" s="82">
        <v>3</v>
      </c>
      <c r="AY36" s="81">
        <v>1100</v>
      </c>
      <c r="AZ36" s="82">
        <v>1</v>
      </c>
      <c r="BA36" s="81">
        <v>350</v>
      </c>
      <c r="BB36" s="82">
        <v>6</v>
      </c>
      <c r="BC36" s="81">
        <v>2300</v>
      </c>
      <c r="BD36" s="82">
        <v>5</v>
      </c>
      <c r="BE36" s="81">
        <v>2250</v>
      </c>
      <c r="BF36" s="82">
        <v>2</v>
      </c>
      <c r="BG36" s="81">
        <v>750</v>
      </c>
      <c r="BH36" s="82">
        <v>1</v>
      </c>
      <c r="BI36" s="81">
        <v>300</v>
      </c>
      <c r="BJ36" s="71">
        <v>4</v>
      </c>
      <c r="BK36" s="70">
        <v>2400</v>
      </c>
      <c r="BL36" s="71">
        <v>3</v>
      </c>
      <c r="BM36" s="70">
        <v>1150</v>
      </c>
      <c r="BN36" s="86">
        <v>7</v>
      </c>
      <c r="BO36" s="81">
        <v>2880</v>
      </c>
      <c r="BP36" s="83">
        <v>4</v>
      </c>
      <c r="BQ36" s="184">
        <v>1600</v>
      </c>
      <c r="BR36" s="87">
        <v>7</v>
      </c>
      <c r="BS36" s="185">
        <v>4310</v>
      </c>
      <c r="BT36" s="82"/>
      <c r="BU36" s="70"/>
      <c r="BV36" s="82">
        <v>4</v>
      </c>
      <c r="BW36" s="81">
        <v>2400</v>
      </c>
      <c r="BX36" s="85">
        <v>1</v>
      </c>
      <c r="BY36" s="81">
        <v>300</v>
      </c>
      <c r="BZ36" s="82">
        <v>1</v>
      </c>
      <c r="CA36" s="81">
        <v>350</v>
      </c>
      <c r="CB36" s="82">
        <v>2</v>
      </c>
      <c r="CC36" s="81">
        <v>600</v>
      </c>
      <c r="CD36" s="79">
        <v>5</v>
      </c>
      <c r="CE36" s="81">
        <v>2300</v>
      </c>
      <c r="CF36" s="82">
        <v>1</v>
      </c>
      <c r="CG36" s="81">
        <v>300</v>
      </c>
      <c r="CH36" s="82">
        <v>5</v>
      </c>
      <c r="CI36" s="81">
        <v>3030</v>
      </c>
      <c r="CJ36" s="82">
        <v>3</v>
      </c>
      <c r="CK36" s="81">
        <v>730</v>
      </c>
      <c r="CL36" s="85">
        <v>5</v>
      </c>
      <c r="CM36" s="81">
        <v>2100</v>
      </c>
      <c r="CN36" s="74">
        <v>6</v>
      </c>
      <c r="CO36" s="70">
        <v>2470</v>
      </c>
      <c r="CP36" s="74">
        <v>4</v>
      </c>
      <c r="CQ36" s="74">
        <v>1580</v>
      </c>
      <c r="CR36" s="82">
        <v>2</v>
      </c>
      <c r="CS36" s="81">
        <v>1400</v>
      </c>
      <c r="CT36" s="82">
        <v>3</v>
      </c>
      <c r="CU36" s="81">
        <v>1000</v>
      </c>
      <c r="CV36" s="82"/>
      <c r="CW36" s="81"/>
      <c r="CX36" s="74">
        <v>6</v>
      </c>
      <c r="CY36" s="70">
        <v>3200</v>
      </c>
      <c r="CZ36" s="79">
        <v>4</v>
      </c>
      <c r="DA36" s="81">
        <v>1900</v>
      </c>
      <c r="DB36" s="66">
        <v>7</v>
      </c>
      <c r="DC36" s="76">
        <v>3520</v>
      </c>
      <c r="DD36" s="66">
        <v>10</v>
      </c>
      <c r="DE36" s="76">
        <v>4500</v>
      </c>
      <c r="DF36" s="75">
        <f t="shared" si="1"/>
        <v>27</v>
      </c>
      <c r="DG36" s="76">
        <f t="shared" si="1"/>
        <v>13120</v>
      </c>
      <c r="DH36" s="75">
        <f t="shared" si="6"/>
        <v>190</v>
      </c>
      <c r="DI36" s="76">
        <f t="shared" si="6"/>
        <v>89681</v>
      </c>
      <c r="DJ36" s="77">
        <f>DH36+3107</f>
        <v>3297</v>
      </c>
      <c r="DK36" s="186">
        <f>DI36+1955939.89</f>
        <v>2045620.89</v>
      </c>
      <c r="DL36" s="7"/>
      <c r="DM36" s="7"/>
    </row>
    <row r="37" spans="1:117" ht="15.75" customHeight="1" x14ac:dyDescent="0.3">
      <c r="A37" s="187" t="s">
        <v>161</v>
      </c>
      <c r="B37" s="143">
        <f t="shared" ref="B37:BM37" si="7">B36+B35+B34</f>
        <v>4</v>
      </c>
      <c r="C37" s="143">
        <f t="shared" si="7"/>
        <v>10850</v>
      </c>
      <c r="D37" s="143">
        <f t="shared" si="7"/>
        <v>5</v>
      </c>
      <c r="E37" s="143">
        <f t="shared" si="7"/>
        <v>14920</v>
      </c>
      <c r="F37" s="143">
        <f t="shared" si="7"/>
        <v>9</v>
      </c>
      <c r="G37" s="143">
        <f t="shared" si="7"/>
        <v>23800</v>
      </c>
      <c r="H37" s="143">
        <f t="shared" si="7"/>
        <v>8</v>
      </c>
      <c r="I37" s="143">
        <f t="shared" si="7"/>
        <v>8150</v>
      </c>
      <c r="J37" s="143">
        <f t="shared" si="7"/>
        <v>9</v>
      </c>
      <c r="K37" s="143">
        <f t="shared" si="7"/>
        <v>20960</v>
      </c>
      <c r="L37" s="143">
        <f>L36+L35+L34</f>
        <v>7</v>
      </c>
      <c r="M37" s="143">
        <f t="shared" si="7"/>
        <v>14478</v>
      </c>
      <c r="N37" s="143">
        <f t="shared" si="7"/>
        <v>11</v>
      </c>
      <c r="O37" s="143">
        <f t="shared" si="7"/>
        <v>32440</v>
      </c>
      <c r="P37" s="143">
        <f t="shared" si="7"/>
        <v>8</v>
      </c>
      <c r="Q37" s="143">
        <f t="shared" si="7"/>
        <v>15000</v>
      </c>
      <c r="R37" s="143">
        <f t="shared" si="7"/>
        <v>4</v>
      </c>
      <c r="S37" s="143">
        <f t="shared" si="7"/>
        <v>11391</v>
      </c>
      <c r="T37" s="188">
        <f t="shared" si="7"/>
        <v>16</v>
      </c>
      <c r="U37" s="143">
        <f t="shared" si="7"/>
        <v>36565</v>
      </c>
      <c r="V37" s="143">
        <f t="shared" si="7"/>
        <v>12</v>
      </c>
      <c r="W37" s="143">
        <f t="shared" si="7"/>
        <v>23270</v>
      </c>
      <c r="X37" s="143">
        <f t="shared" si="7"/>
        <v>12</v>
      </c>
      <c r="Y37" s="143">
        <f t="shared" si="7"/>
        <v>28186</v>
      </c>
      <c r="Z37" s="143">
        <f t="shared" si="7"/>
        <v>6</v>
      </c>
      <c r="AA37" s="143">
        <f t="shared" si="7"/>
        <v>11000</v>
      </c>
      <c r="AB37" s="143">
        <f t="shared" si="7"/>
        <v>10</v>
      </c>
      <c r="AC37" s="143">
        <f t="shared" si="7"/>
        <v>21780</v>
      </c>
      <c r="AD37" s="143">
        <f t="shared" si="7"/>
        <v>12</v>
      </c>
      <c r="AE37" s="143">
        <f t="shared" si="7"/>
        <v>11700</v>
      </c>
      <c r="AF37" s="143">
        <f t="shared" si="7"/>
        <v>16</v>
      </c>
      <c r="AG37" s="143">
        <f t="shared" si="7"/>
        <v>27790</v>
      </c>
      <c r="AH37" s="143">
        <f t="shared" si="7"/>
        <v>2</v>
      </c>
      <c r="AI37" s="143">
        <f t="shared" si="7"/>
        <v>1200</v>
      </c>
      <c r="AJ37" s="143">
        <f t="shared" si="7"/>
        <v>11</v>
      </c>
      <c r="AK37" s="143">
        <f t="shared" si="7"/>
        <v>18040</v>
      </c>
      <c r="AL37" s="143">
        <f t="shared" si="7"/>
        <v>7</v>
      </c>
      <c r="AM37" s="143">
        <f t="shared" si="7"/>
        <v>9450</v>
      </c>
      <c r="AN37" s="143">
        <f t="shared" si="7"/>
        <v>8</v>
      </c>
      <c r="AO37" s="143">
        <f t="shared" si="7"/>
        <v>11600</v>
      </c>
      <c r="AP37" s="143">
        <f t="shared" si="7"/>
        <v>6</v>
      </c>
      <c r="AQ37" s="143">
        <f t="shared" si="7"/>
        <v>9720</v>
      </c>
      <c r="AR37" s="143">
        <f t="shared" si="7"/>
        <v>10</v>
      </c>
      <c r="AS37" s="143">
        <f t="shared" si="7"/>
        <v>18650</v>
      </c>
      <c r="AT37" s="143">
        <f t="shared" si="7"/>
        <v>7</v>
      </c>
      <c r="AU37" s="143">
        <f t="shared" si="7"/>
        <v>14840</v>
      </c>
      <c r="AV37" s="143">
        <f t="shared" si="7"/>
        <v>10</v>
      </c>
      <c r="AW37" s="143">
        <f t="shared" si="7"/>
        <v>15328</v>
      </c>
      <c r="AX37" s="143">
        <f t="shared" si="7"/>
        <v>9</v>
      </c>
      <c r="AY37" s="143">
        <f t="shared" si="7"/>
        <v>11550</v>
      </c>
      <c r="AZ37" s="143">
        <f t="shared" si="7"/>
        <v>1</v>
      </c>
      <c r="BA37" s="143">
        <f t="shared" si="7"/>
        <v>350</v>
      </c>
      <c r="BB37" s="143">
        <f t="shared" si="7"/>
        <v>10</v>
      </c>
      <c r="BC37" s="143">
        <f t="shared" si="7"/>
        <v>12100</v>
      </c>
      <c r="BD37" s="143">
        <f t="shared" si="7"/>
        <v>7</v>
      </c>
      <c r="BE37" s="143">
        <f t="shared" si="7"/>
        <v>7250</v>
      </c>
      <c r="BF37" s="143">
        <f t="shared" si="7"/>
        <v>7</v>
      </c>
      <c r="BG37" s="143">
        <f t="shared" si="7"/>
        <v>10150</v>
      </c>
      <c r="BH37" s="143">
        <f t="shared" si="7"/>
        <v>6</v>
      </c>
      <c r="BI37" s="143">
        <f t="shared" si="7"/>
        <v>11800</v>
      </c>
      <c r="BJ37" s="143">
        <f t="shared" si="7"/>
        <v>7</v>
      </c>
      <c r="BK37" s="143">
        <f t="shared" si="7"/>
        <v>7700</v>
      </c>
      <c r="BL37" s="143">
        <f t="shared" si="7"/>
        <v>10</v>
      </c>
      <c r="BM37" s="143">
        <f t="shared" si="7"/>
        <v>20650</v>
      </c>
      <c r="BN37" s="143">
        <f t="shared" ref="BN37:DC37" si="8">BN36+BN35+BN34</f>
        <v>14</v>
      </c>
      <c r="BO37" s="143">
        <f t="shared" si="8"/>
        <v>19240</v>
      </c>
      <c r="BP37" s="143">
        <f t="shared" si="8"/>
        <v>11</v>
      </c>
      <c r="BQ37" s="143">
        <f t="shared" si="8"/>
        <v>16850</v>
      </c>
      <c r="BR37" s="189">
        <f t="shared" si="8"/>
        <v>11</v>
      </c>
      <c r="BS37" s="189">
        <f t="shared" si="8"/>
        <v>14330</v>
      </c>
      <c r="BT37" s="143">
        <f t="shared" si="8"/>
        <v>0</v>
      </c>
      <c r="BU37" s="143">
        <f t="shared" si="8"/>
        <v>0</v>
      </c>
      <c r="BV37" s="143">
        <f t="shared" si="8"/>
        <v>9</v>
      </c>
      <c r="BW37" s="143">
        <f t="shared" si="8"/>
        <v>13100</v>
      </c>
      <c r="BX37" s="143">
        <f t="shared" si="8"/>
        <v>10</v>
      </c>
      <c r="BY37" s="143">
        <f t="shared" si="8"/>
        <v>21860</v>
      </c>
      <c r="BZ37" s="143">
        <f t="shared" si="8"/>
        <v>5</v>
      </c>
      <c r="CA37" s="143">
        <f t="shared" si="8"/>
        <v>8467</v>
      </c>
      <c r="CB37" s="143">
        <f t="shared" si="8"/>
        <v>5</v>
      </c>
      <c r="CC37" s="143">
        <f t="shared" si="8"/>
        <v>7210</v>
      </c>
      <c r="CD37" s="143">
        <f t="shared" si="8"/>
        <v>12</v>
      </c>
      <c r="CE37" s="143">
        <f t="shared" si="8"/>
        <v>19100</v>
      </c>
      <c r="CF37" s="143">
        <f t="shared" si="8"/>
        <v>6</v>
      </c>
      <c r="CG37" s="143">
        <f t="shared" si="8"/>
        <v>10749</v>
      </c>
      <c r="CH37" s="143">
        <f t="shared" si="8"/>
        <v>8</v>
      </c>
      <c r="CI37" s="143">
        <f t="shared" si="8"/>
        <v>11070</v>
      </c>
      <c r="CJ37" s="143">
        <f t="shared" si="8"/>
        <v>7</v>
      </c>
      <c r="CK37" s="143">
        <f t="shared" si="8"/>
        <v>11230</v>
      </c>
      <c r="CL37" s="143">
        <f t="shared" si="8"/>
        <v>8</v>
      </c>
      <c r="CM37" s="143">
        <f t="shared" si="8"/>
        <v>9450</v>
      </c>
      <c r="CN37" s="143">
        <f t="shared" si="8"/>
        <v>12</v>
      </c>
      <c r="CO37" s="143">
        <f t="shared" si="8"/>
        <v>15770</v>
      </c>
      <c r="CP37" s="143">
        <f t="shared" si="8"/>
        <v>12</v>
      </c>
      <c r="CQ37" s="143">
        <f t="shared" si="8"/>
        <v>24580</v>
      </c>
      <c r="CR37" s="143">
        <f t="shared" si="8"/>
        <v>8</v>
      </c>
      <c r="CS37" s="143">
        <f t="shared" si="8"/>
        <v>15740</v>
      </c>
      <c r="CT37" s="143">
        <f>CT36+CT35+CT34</f>
        <v>9</v>
      </c>
      <c r="CU37" s="143">
        <f t="shared" si="8"/>
        <v>17170</v>
      </c>
      <c r="CV37" s="143">
        <f>CV36+CV35+CV34</f>
        <v>0</v>
      </c>
      <c r="CW37" s="143">
        <f>CW36+CW35+CW34</f>
        <v>0</v>
      </c>
      <c r="CX37" s="143">
        <f t="shared" si="8"/>
        <v>11</v>
      </c>
      <c r="CY37" s="143">
        <f t="shared" si="8"/>
        <v>15500</v>
      </c>
      <c r="CZ37" s="143">
        <f t="shared" si="8"/>
        <v>13</v>
      </c>
      <c r="DA37" s="143">
        <f t="shared" si="8"/>
        <v>24260</v>
      </c>
      <c r="DB37" s="143">
        <f t="shared" si="8"/>
        <v>17</v>
      </c>
      <c r="DC37" s="143">
        <f t="shared" si="8"/>
        <v>28620</v>
      </c>
      <c r="DD37" s="143">
        <f>DD36+DD35+DD34</f>
        <v>23</v>
      </c>
      <c r="DE37" s="143">
        <f>DE36+DE35+DE34</f>
        <v>39212</v>
      </c>
      <c r="DF37" s="139">
        <f t="shared" ref="DF37:DG37" si="9">DF36+DF35+DF34</f>
        <v>64</v>
      </c>
      <c r="DG37" s="138">
        <f t="shared" si="9"/>
        <v>107592</v>
      </c>
      <c r="DH37" s="143">
        <f>DH36+DH35+DH34</f>
        <v>478</v>
      </c>
      <c r="DI37" s="138">
        <f>DI36+DI35+DI34</f>
        <v>836166</v>
      </c>
      <c r="DJ37" s="143">
        <f>DJ36+DJ35+DJ34</f>
        <v>5356</v>
      </c>
      <c r="DK37" s="190">
        <f>DK36+DK35+DK34</f>
        <v>8085123.1899999995</v>
      </c>
      <c r="DL37" s="7"/>
      <c r="DM37" s="7"/>
    </row>
    <row r="38" spans="1:117" ht="50.25" customHeight="1" x14ac:dyDescent="0.3">
      <c r="A38" s="170" t="s">
        <v>162</v>
      </c>
      <c r="B38" s="191"/>
      <c r="C38" s="192"/>
      <c r="D38" s="193"/>
      <c r="E38" s="194"/>
      <c r="F38" s="195"/>
      <c r="G38" s="194"/>
      <c r="H38" s="195">
        <v>4</v>
      </c>
      <c r="I38" s="194">
        <v>6000</v>
      </c>
      <c r="J38" s="195">
        <v>1</v>
      </c>
      <c r="K38" s="194">
        <v>3240</v>
      </c>
      <c r="L38" s="195"/>
      <c r="M38" s="194"/>
      <c r="N38" s="195">
        <v>1</v>
      </c>
      <c r="O38" s="194">
        <v>4000</v>
      </c>
      <c r="P38" s="195"/>
      <c r="Q38" s="194"/>
      <c r="R38" s="195"/>
      <c r="S38" s="194"/>
      <c r="T38" s="196">
        <v>3</v>
      </c>
      <c r="U38" s="194">
        <v>4800</v>
      </c>
      <c r="V38" s="197"/>
      <c r="W38" s="194"/>
      <c r="X38" s="197">
        <v>1</v>
      </c>
      <c r="Y38" s="194">
        <v>2000</v>
      </c>
      <c r="Z38" s="195">
        <v>2</v>
      </c>
      <c r="AA38" s="194">
        <v>5100</v>
      </c>
      <c r="AB38" s="195">
        <v>3</v>
      </c>
      <c r="AC38" s="194">
        <v>7450</v>
      </c>
      <c r="AD38" s="198">
        <v>2</v>
      </c>
      <c r="AE38" s="194">
        <v>3900</v>
      </c>
      <c r="AF38" s="195">
        <v>4</v>
      </c>
      <c r="AG38" s="194">
        <v>11300</v>
      </c>
      <c r="AH38" s="195"/>
      <c r="AI38" s="194"/>
      <c r="AJ38" s="195">
        <v>2</v>
      </c>
      <c r="AK38" s="194">
        <v>6000</v>
      </c>
      <c r="AL38" s="195">
        <v>2</v>
      </c>
      <c r="AM38" s="194">
        <v>1200</v>
      </c>
      <c r="AN38" s="195">
        <v>3</v>
      </c>
      <c r="AO38" s="194">
        <v>5400</v>
      </c>
      <c r="AP38" s="195">
        <v>2</v>
      </c>
      <c r="AQ38" s="194">
        <v>3000</v>
      </c>
      <c r="AR38" s="195"/>
      <c r="AS38" s="194"/>
      <c r="AT38" s="195"/>
      <c r="AU38" s="194"/>
      <c r="AV38" s="199"/>
      <c r="AW38" s="194"/>
      <c r="AX38" s="195">
        <v>1</v>
      </c>
      <c r="AY38" s="194">
        <v>1500</v>
      </c>
      <c r="AZ38" s="195"/>
      <c r="BA38" s="194"/>
      <c r="BB38" s="195"/>
      <c r="BC38" s="194"/>
      <c r="BD38" s="195"/>
      <c r="BE38" s="194"/>
      <c r="BF38" s="195"/>
      <c r="BG38" s="194"/>
      <c r="BH38" s="195"/>
      <c r="BI38" s="194"/>
      <c r="BJ38" s="195">
        <v>1</v>
      </c>
      <c r="BK38" s="194">
        <v>1800</v>
      </c>
      <c r="BL38" s="195"/>
      <c r="BM38" s="194"/>
      <c r="BN38" s="199">
        <v>3</v>
      </c>
      <c r="BO38" s="194">
        <v>7500</v>
      </c>
      <c r="BP38" s="196"/>
      <c r="BQ38" s="200"/>
      <c r="BR38" s="201"/>
      <c r="BS38" s="202"/>
      <c r="BT38" s="195"/>
      <c r="BU38" s="192"/>
      <c r="BV38" s="195"/>
      <c r="BW38" s="194"/>
      <c r="BX38" s="198">
        <v>1</v>
      </c>
      <c r="BY38" s="194">
        <v>300</v>
      </c>
      <c r="BZ38" s="195"/>
      <c r="CA38" s="194"/>
      <c r="CB38" s="195">
        <v>1</v>
      </c>
      <c r="CC38" s="194">
        <v>2990</v>
      </c>
      <c r="CD38" s="156">
        <v>2</v>
      </c>
      <c r="CE38" s="194">
        <v>3300</v>
      </c>
      <c r="CF38" s="195"/>
      <c r="CG38" s="194"/>
      <c r="CH38" s="195"/>
      <c r="CI38" s="194"/>
      <c r="CJ38" s="195">
        <v>1</v>
      </c>
      <c r="CK38" s="194">
        <v>3000</v>
      </c>
      <c r="CL38" s="198"/>
      <c r="CM38" s="194"/>
      <c r="CN38" s="203"/>
      <c r="CO38" s="192"/>
      <c r="CP38" s="203"/>
      <c r="CQ38" s="203"/>
      <c r="CR38" s="195"/>
      <c r="CS38" s="194"/>
      <c r="CT38" s="195"/>
      <c r="CU38" s="194"/>
      <c r="CV38" s="195"/>
      <c r="CW38" s="194"/>
      <c r="CX38" s="203">
        <v>1</v>
      </c>
      <c r="CY38" s="192">
        <v>500</v>
      </c>
      <c r="CZ38" s="156">
        <v>2</v>
      </c>
      <c r="DA38" s="194">
        <v>1990</v>
      </c>
      <c r="DB38" s="204"/>
      <c r="DC38" s="205"/>
      <c r="DD38" s="204">
        <v>1</v>
      </c>
      <c r="DE38" s="205">
        <v>500</v>
      </c>
      <c r="DF38" s="206">
        <f t="shared" ref="DF38:DF54" si="10">CV38+CX38+CZ38+DB38+DD38</f>
        <v>4</v>
      </c>
      <c r="DG38" s="205">
        <f t="shared" ref="DG38:DG54" si="11">CW38+CY38+DA38+DC38+DE38</f>
        <v>2990</v>
      </c>
      <c r="DH38" s="207">
        <f t="shared" ref="DH38:DH55" si="12">B38+CZ38+DB38+D38+F38+H38+J38+L38+N38+P38+R38+T38+V38+X38+Z38+AB38+AD38+AF38+AH38+AJ38+AL38+AN38+AP38+AR38+AT38+AV38+AX38+AZ38+BB38+BD38+BF38+BH38+BJ38+BL38+BN38+BP38+BR38+BT38+BV38+BX38+BZ38+CB38+CD38+CF38+CH38+CJ38+CL38+CP38+CR38+CT38+CV38+CX38+CN38+DD38</f>
        <v>44</v>
      </c>
      <c r="DI38" s="205">
        <f t="shared" ref="DI38:DI55" si="13">C38+DA38+DC38+E38+G38+I38+K38+M38+O38+Q38+S38+U38+W38+Y38+AA38+AC38+AE38+AG38+AI38+AK38+AM38+AO38+AQ38+AS38+AU38+AW38+AY38+BA38+BC38+BE38+BG38+BI38+BK38+BM38+BO38+BQ38+BS38+BU38+BW38+BY38+CA38+CC38+CE38+CG38+CI38+CK38+CM38+CQ38+CS38+CU38+CW38+CY38+CO38+DE38</f>
        <v>86770</v>
      </c>
      <c r="DJ38" s="206">
        <f>DH38+319</f>
        <v>363</v>
      </c>
      <c r="DK38" s="205">
        <f>DI38+546031.7</f>
        <v>632801.69999999995</v>
      </c>
      <c r="DL38" s="7"/>
      <c r="DM38" s="7"/>
    </row>
    <row r="39" spans="1:117" x14ac:dyDescent="0.3">
      <c r="A39" s="208" t="s">
        <v>163</v>
      </c>
      <c r="B39" s="78"/>
      <c r="C39" s="209"/>
      <c r="D39" s="210"/>
      <c r="E39" s="211"/>
      <c r="F39" s="212"/>
      <c r="G39" s="211"/>
      <c r="H39" s="212"/>
      <c r="I39" s="211"/>
      <c r="J39" s="212"/>
      <c r="K39" s="211"/>
      <c r="L39" s="212"/>
      <c r="M39" s="211"/>
      <c r="N39" s="212"/>
      <c r="O39" s="211"/>
      <c r="P39" s="212"/>
      <c r="Q39" s="211"/>
      <c r="R39" s="212"/>
      <c r="S39" s="211"/>
      <c r="T39" s="213"/>
      <c r="U39" s="211"/>
      <c r="V39" s="214"/>
      <c r="W39" s="211"/>
      <c r="X39" s="214"/>
      <c r="Y39" s="211"/>
      <c r="Z39" s="212"/>
      <c r="AA39" s="211"/>
      <c r="AB39" s="212"/>
      <c r="AC39" s="211"/>
      <c r="AD39" s="215">
        <v>2</v>
      </c>
      <c r="AE39" s="211">
        <v>3300</v>
      </c>
      <c r="AF39" s="212"/>
      <c r="AG39" s="211"/>
      <c r="AH39" s="212"/>
      <c r="AI39" s="211"/>
      <c r="AJ39" s="212"/>
      <c r="AK39" s="211"/>
      <c r="AL39" s="212"/>
      <c r="AM39" s="211"/>
      <c r="AN39" s="212">
        <v>1</v>
      </c>
      <c r="AO39" s="211">
        <v>400</v>
      </c>
      <c r="AP39" s="212"/>
      <c r="AQ39" s="211"/>
      <c r="AR39" s="212"/>
      <c r="AS39" s="211"/>
      <c r="AT39" s="212"/>
      <c r="AU39" s="211"/>
      <c r="AV39" s="216"/>
      <c r="AW39" s="211"/>
      <c r="AX39" s="212"/>
      <c r="AY39" s="211"/>
      <c r="AZ39" s="212"/>
      <c r="BA39" s="211"/>
      <c r="BB39" s="212"/>
      <c r="BC39" s="211"/>
      <c r="BD39" s="212"/>
      <c r="BE39" s="211"/>
      <c r="BF39" s="212"/>
      <c r="BG39" s="211"/>
      <c r="BH39" s="212"/>
      <c r="BI39" s="211"/>
      <c r="BJ39" s="212"/>
      <c r="BK39" s="211"/>
      <c r="BL39" s="212"/>
      <c r="BM39" s="211"/>
      <c r="BN39" s="216"/>
      <c r="BO39" s="211"/>
      <c r="BP39" s="217"/>
      <c r="BQ39" s="218"/>
      <c r="BR39" s="219"/>
      <c r="BS39" s="219"/>
      <c r="BT39" s="212"/>
      <c r="BU39" s="209"/>
      <c r="BV39" s="212"/>
      <c r="BW39" s="211"/>
      <c r="BX39" s="215"/>
      <c r="BY39" s="211"/>
      <c r="BZ39" s="212"/>
      <c r="CA39" s="211"/>
      <c r="CB39" s="212"/>
      <c r="CC39" s="211"/>
      <c r="CD39" s="208"/>
      <c r="CE39" s="211"/>
      <c r="CF39" s="212"/>
      <c r="CG39" s="211"/>
      <c r="CH39" s="212"/>
      <c r="CI39" s="211"/>
      <c r="CJ39" s="212"/>
      <c r="CK39" s="211"/>
      <c r="CL39" s="215"/>
      <c r="CM39" s="211"/>
      <c r="CN39" s="74"/>
      <c r="CO39" s="70"/>
      <c r="CP39" s="220"/>
      <c r="CQ39" s="220"/>
      <c r="CR39" s="212"/>
      <c r="CS39" s="211"/>
      <c r="CT39" s="212"/>
      <c r="CU39" s="211"/>
      <c r="CV39" s="195"/>
      <c r="CW39" s="194"/>
      <c r="CX39" s="220"/>
      <c r="CY39" s="209"/>
      <c r="CZ39" s="208"/>
      <c r="DA39" s="211"/>
      <c r="DB39" s="221"/>
      <c r="DC39" s="222"/>
      <c r="DD39" s="221"/>
      <c r="DE39" s="222"/>
      <c r="DF39" s="206">
        <f t="shared" si="10"/>
        <v>0</v>
      </c>
      <c r="DG39" s="205">
        <f t="shared" si="11"/>
        <v>0</v>
      </c>
      <c r="DH39" s="207">
        <f t="shared" si="12"/>
        <v>3</v>
      </c>
      <c r="DI39" s="205">
        <f t="shared" si="13"/>
        <v>3700</v>
      </c>
      <c r="DJ39" s="223">
        <f>DH39+14</f>
        <v>17</v>
      </c>
      <c r="DK39" s="222">
        <f>DI39+3155</f>
        <v>6855</v>
      </c>
      <c r="DL39" s="7"/>
      <c r="DM39" s="7"/>
    </row>
    <row r="40" spans="1:117" x14ac:dyDescent="0.3">
      <c r="A40" s="208" t="s">
        <v>164</v>
      </c>
      <c r="B40" s="78"/>
      <c r="C40" s="209"/>
      <c r="D40" s="210"/>
      <c r="E40" s="211"/>
      <c r="F40" s="212"/>
      <c r="G40" s="211"/>
      <c r="H40" s="212"/>
      <c r="I40" s="211"/>
      <c r="J40" s="212"/>
      <c r="K40" s="211"/>
      <c r="L40" s="212"/>
      <c r="M40" s="211"/>
      <c r="N40" s="212"/>
      <c r="O40" s="211"/>
      <c r="P40" s="212"/>
      <c r="Q40" s="211"/>
      <c r="R40" s="212"/>
      <c r="S40" s="211"/>
      <c r="T40" s="213"/>
      <c r="U40" s="211"/>
      <c r="V40" s="214"/>
      <c r="W40" s="211"/>
      <c r="X40" s="214"/>
      <c r="Y40" s="211"/>
      <c r="Z40" s="212"/>
      <c r="AA40" s="211"/>
      <c r="AB40" s="212"/>
      <c r="AC40" s="211"/>
      <c r="AD40" s="215"/>
      <c r="AE40" s="211"/>
      <c r="AF40" s="212"/>
      <c r="AG40" s="211"/>
      <c r="AH40" s="212"/>
      <c r="AI40" s="211"/>
      <c r="AJ40" s="212"/>
      <c r="AK40" s="211"/>
      <c r="AL40" s="212"/>
      <c r="AM40" s="211"/>
      <c r="AN40" s="212"/>
      <c r="AO40" s="211"/>
      <c r="AP40" s="212"/>
      <c r="AQ40" s="211"/>
      <c r="AR40" s="212"/>
      <c r="AS40" s="211"/>
      <c r="AT40" s="212"/>
      <c r="AU40" s="211"/>
      <c r="AV40" s="216"/>
      <c r="AW40" s="211"/>
      <c r="AX40" s="212"/>
      <c r="AY40" s="211"/>
      <c r="AZ40" s="212"/>
      <c r="BA40" s="211"/>
      <c r="BB40" s="212"/>
      <c r="BC40" s="211"/>
      <c r="BD40" s="212"/>
      <c r="BE40" s="211"/>
      <c r="BF40" s="212"/>
      <c r="BG40" s="211"/>
      <c r="BH40" s="212"/>
      <c r="BI40" s="211"/>
      <c r="BJ40" s="212"/>
      <c r="BK40" s="211"/>
      <c r="BL40" s="212"/>
      <c r="BM40" s="211"/>
      <c r="BN40" s="216"/>
      <c r="BO40" s="211"/>
      <c r="BP40" s="217"/>
      <c r="BQ40" s="218"/>
      <c r="BR40" s="219"/>
      <c r="BS40" s="219"/>
      <c r="BT40" s="212"/>
      <c r="BU40" s="209"/>
      <c r="BV40" s="212"/>
      <c r="BW40" s="211"/>
      <c r="BX40" s="215"/>
      <c r="BY40" s="211"/>
      <c r="BZ40" s="212"/>
      <c r="CA40" s="211"/>
      <c r="CB40" s="212"/>
      <c r="CC40" s="211"/>
      <c r="CD40" s="208"/>
      <c r="CE40" s="211"/>
      <c r="CF40" s="212"/>
      <c r="CG40" s="211"/>
      <c r="CH40" s="212"/>
      <c r="CI40" s="211"/>
      <c r="CJ40" s="212"/>
      <c r="CK40" s="211"/>
      <c r="CL40" s="215"/>
      <c r="CM40" s="211"/>
      <c r="CN40" s="74"/>
      <c r="CO40" s="70"/>
      <c r="CP40" s="220"/>
      <c r="CQ40" s="220"/>
      <c r="CR40" s="212"/>
      <c r="CS40" s="211"/>
      <c r="CT40" s="212"/>
      <c r="CU40" s="211"/>
      <c r="CV40" s="195"/>
      <c r="CW40" s="194"/>
      <c r="CX40" s="220"/>
      <c r="CY40" s="209"/>
      <c r="CZ40" s="208"/>
      <c r="DA40" s="211"/>
      <c r="DB40" s="221"/>
      <c r="DC40" s="222"/>
      <c r="DD40" s="221"/>
      <c r="DE40" s="222"/>
      <c r="DF40" s="206">
        <f t="shared" si="10"/>
        <v>0</v>
      </c>
      <c r="DG40" s="205">
        <f t="shared" si="11"/>
        <v>0</v>
      </c>
      <c r="DH40" s="207">
        <f t="shared" si="12"/>
        <v>0</v>
      </c>
      <c r="DI40" s="205">
        <f t="shared" si="13"/>
        <v>0</v>
      </c>
      <c r="DJ40" s="223">
        <f>DH40</f>
        <v>0</v>
      </c>
      <c r="DK40" s="222">
        <f>DI40</f>
        <v>0</v>
      </c>
      <c r="DL40" s="7"/>
      <c r="DM40" s="7"/>
    </row>
    <row r="41" spans="1:117" x14ac:dyDescent="0.3">
      <c r="A41" s="208" t="s">
        <v>165</v>
      </c>
      <c r="B41" s="78"/>
      <c r="C41" s="209"/>
      <c r="D41" s="210">
        <v>3</v>
      </c>
      <c r="E41" s="211">
        <v>5450</v>
      </c>
      <c r="F41" s="212">
        <v>2</v>
      </c>
      <c r="G41" s="211">
        <v>6500</v>
      </c>
      <c r="H41" s="212">
        <v>2</v>
      </c>
      <c r="I41" s="211">
        <v>900</v>
      </c>
      <c r="J41" s="212">
        <v>3</v>
      </c>
      <c r="K41" s="211">
        <v>1440</v>
      </c>
      <c r="L41" s="212">
        <v>2</v>
      </c>
      <c r="M41" s="211">
        <v>4860</v>
      </c>
      <c r="N41" s="212">
        <v>3</v>
      </c>
      <c r="O41" s="211">
        <v>9440</v>
      </c>
      <c r="P41" s="212">
        <v>1</v>
      </c>
      <c r="Q41" s="211">
        <v>4000</v>
      </c>
      <c r="R41" s="212">
        <v>1</v>
      </c>
      <c r="S41" s="211">
        <v>1080</v>
      </c>
      <c r="T41" s="213">
        <v>3</v>
      </c>
      <c r="U41" s="211">
        <v>9500</v>
      </c>
      <c r="V41" s="214">
        <v>2</v>
      </c>
      <c r="W41" s="211">
        <v>3300</v>
      </c>
      <c r="X41" s="214">
        <v>4</v>
      </c>
      <c r="Y41" s="211">
        <v>7125</v>
      </c>
      <c r="Z41" s="212"/>
      <c r="AA41" s="211"/>
      <c r="AB41" s="212">
        <v>1</v>
      </c>
      <c r="AC41" s="211">
        <v>300</v>
      </c>
      <c r="AD41" s="215"/>
      <c r="AE41" s="211"/>
      <c r="AF41" s="212">
        <v>3</v>
      </c>
      <c r="AG41" s="211">
        <v>3920</v>
      </c>
      <c r="AH41" s="212">
        <v>1</v>
      </c>
      <c r="AI41" s="211">
        <v>300</v>
      </c>
      <c r="AJ41" s="212">
        <v>1</v>
      </c>
      <c r="AK41" s="211">
        <v>1080</v>
      </c>
      <c r="AL41" s="212">
        <v>1</v>
      </c>
      <c r="AM41" s="211">
        <v>2300</v>
      </c>
      <c r="AN41" s="212"/>
      <c r="AO41" s="211"/>
      <c r="AP41" s="212">
        <v>2</v>
      </c>
      <c r="AQ41" s="211">
        <v>4400</v>
      </c>
      <c r="AR41" s="212">
        <v>1</v>
      </c>
      <c r="AS41" s="211">
        <v>2000</v>
      </c>
      <c r="AT41" s="212">
        <v>1</v>
      </c>
      <c r="AU41" s="211">
        <v>3000</v>
      </c>
      <c r="AV41" s="216">
        <v>3</v>
      </c>
      <c r="AW41" s="211">
        <v>6028</v>
      </c>
      <c r="AX41" s="212">
        <v>3</v>
      </c>
      <c r="AY41" s="211">
        <v>3450</v>
      </c>
      <c r="AZ41" s="212"/>
      <c r="BA41" s="211"/>
      <c r="BB41" s="212">
        <v>2</v>
      </c>
      <c r="BC41" s="211">
        <v>5500</v>
      </c>
      <c r="BD41" s="212">
        <v>3</v>
      </c>
      <c r="BE41" s="211">
        <v>3800</v>
      </c>
      <c r="BF41" s="212">
        <v>4</v>
      </c>
      <c r="BG41" s="211">
        <v>6800</v>
      </c>
      <c r="BH41" s="212">
        <v>2</v>
      </c>
      <c r="BI41" s="211">
        <v>5500</v>
      </c>
      <c r="BJ41" s="212">
        <v>2</v>
      </c>
      <c r="BK41" s="211">
        <v>1800</v>
      </c>
      <c r="BL41" s="212">
        <v>1</v>
      </c>
      <c r="BM41" s="211">
        <v>3000</v>
      </c>
      <c r="BN41" s="216">
        <v>3</v>
      </c>
      <c r="BO41" s="211">
        <v>3200</v>
      </c>
      <c r="BP41" s="217">
        <v>2</v>
      </c>
      <c r="BQ41" s="218">
        <v>2250</v>
      </c>
      <c r="BR41" s="224">
        <v>4</v>
      </c>
      <c r="BS41" s="225">
        <v>5530</v>
      </c>
      <c r="BT41" s="212"/>
      <c r="BU41" s="209"/>
      <c r="BV41" s="212">
        <v>2</v>
      </c>
      <c r="BW41" s="211">
        <v>3700</v>
      </c>
      <c r="BX41" s="215"/>
      <c r="BY41" s="211"/>
      <c r="BZ41" s="212">
        <v>1</v>
      </c>
      <c r="CA41" s="211">
        <v>3000</v>
      </c>
      <c r="CB41" s="212">
        <v>1</v>
      </c>
      <c r="CC41" s="211">
        <v>300</v>
      </c>
      <c r="CD41" s="208">
        <v>4</v>
      </c>
      <c r="CE41" s="211">
        <v>5100</v>
      </c>
      <c r="CF41" s="212">
        <v>1</v>
      </c>
      <c r="CG41" s="211">
        <v>1129</v>
      </c>
      <c r="CH41" s="212">
        <v>2</v>
      </c>
      <c r="CI41" s="211">
        <v>3900</v>
      </c>
      <c r="CJ41" s="212"/>
      <c r="CK41" s="211"/>
      <c r="CL41" s="215">
        <v>1</v>
      </c>
      <c r="CM41" s="211">
        <v>3000</v>
      </c>
      <c r="CN41" s="220">
        <v>2</v>
      </c>
      <c r="CO41" s="209">
        <v>2300</v>
      </c>
      <c r="CP41" s="220">
        <v>3</v>
      </c>
      <c r="CQ41" s="220">
        <v>3480</v>
      </c>
      <c r="CR41" s="212">
        <v>3</v>
      </c>
      <c r="CS41" s="211">
        <v>4400</v>
      </c>
      <c r="CT41" s="212">
        <v>4</v>
      </c>
      <c r="CU41" s="211">
        <v>10520</v>
      </c>
      <c r="CV41" s="195"/>
      <c r="CW41" s="194"/>
      <c r="CX41" s="220">
        <v>3</v>
      </c>
      <c r="CY41" s="209">
        <v>3700</v>
      </c>
      <c r="CZ41" s="208">
        <v>3</v>
      </c>
      <c r="DA41" s="211">
        <v>5670</v>
      </c>
      <c r="DB41" s="221">
        <v>1</v>
      </c>
      <c r="DC41" s="222">
        <v>200</v>
      </c>
      <c r="DD41" s="221">
        <v>4</v>
      </c>
      <c r="DE41" s="222">
        <v>4270</v>
      </c>
      <c r="DF41" s="206">
        <f t="shared" si="10"/>
        <v>11</v>
      </c>
      <c r="DG41" s="205">
        <f t="shared" si="11"/>
        <v>13840</v>
      </c>
      <c r="DH41" s="207">
        <f t="shared" si="12"/>
        <v>101</v>
      </c>
      <c r="DI41" s="205">
        <f t="shared" si="13"/>
        <v>172422</v>
      </c>
      <c r="DJ41" s="223">
        <f>DH41+860</f>
        <v>961</v>
      </c>
      <c r="DK41" s="222">
        <f>DI41+1304972.89</f>
        <v>1477394.89</v>
      </c>
      <c r="DL41" s="7"/>
      <c r="DM41" s="7"/>
    </row>
    <row r="42" spans="1:117" x14ac:dyDescent="0.3">
      <c r="A42" s="208" t="s">
        <v>166</v>
      </c>
      <c r="B42" s="78"/>
      <c r="C42" s="209"/>
      <c r="D42" s="210"/>
      <c r="E42" s="211"/>
      <c r="F42" s="212"/>
      <c r="G42" s="211"/>
      <c r="H42" s="212"/>
      <c r="I42" s="211"/>
      <c r="J42" s="212"/>
      <c r="K42" s="211"/>
      <c r="L42" s="212"/>
      <c r="M42" s="211"/>
      <c r="N42" s="212"/>
      <c r="O42" s="211"/>
      <c r="P42" s="212"/>
      <c r="Q42" s="211"/>
      <c r="R42" s="212"/>
      <c r="S42" s="211"/>
      <c r="T42" s="213"/>
      <c r="U42" s="211"/>
      <c r="V42" s="214"/>
      <c r="W42" s="211"/>
      <c r="X42" s="214"/>
      <c r="Y42" s="211"/>
      <c r="Z42" s="212"/>
      <c r="AA42" s="211"/>
      <c r="AB42" s="212"/>
      <c r="AC42" s="211"/>
      <c r="AD42" s="215"/>
      <c r="AE42" s="211"/>
      <c r="AF42" s="212"/>
      <c r="AG42" s="211"/>
      <c r="AH42" s="212"/>
      <c r="AI42" s="211"/>
      <c r="AJ42" s="212"/>
      <c r="AK42" s="211"/>
      <c r="AL42" s="212"/>
      <c r="AM42" s="211"/>
      <c r="AN42" s="212"/>
      <c r="AO42" s="211"/>
      <c r="AP42" s="212"/>
      <c r="AQ42" s="211"/>
      <c r="AR42" s="212"/>
      <c r="AS42" s="211"/>
      <c r="AT42" s="212"/>
      <c r="AU42" s="211"/>
      <c r="AV42" s="216"/>
      <c r="AW42" s="211"/>
      <c r="AX42" s="212"/>
      <c r="AY42" s="211"/>
      <c r="AZ42" s="212"/>
      <c r="BA42" s="211"/>
      <c r="BB42" s="212">
        <v>1</v>
      </c>
      <c r="BC42" s="211">
        <v>300</v>
      </c>
      <c r="BD42" s="212"/>
      <c r="BE42" s="211"/>
      <c r="BF42" s="212"/>
      <c r="BG42" s="211"/>
      <c r="BH42" s="212"/>
      <c r="BI42" s="211"/>
      <c r="BJ42" s="212">
        <v>1</v>
      </c>
      <c r="BK42" s="211">
        <v>500</v>
      </c>
      <c r="BL42" s="212"/>
      <c r="BM42" s="211"/>
      <c r="BN42" s="216"/>
      <c r="BO42" s="211"/>
      <c r="BP42" s="217"/>
      <c r="BQ42" s="218"/>
      <c r="BR42" s="219"/>
      <c r="BS42" s="219"/>
      <c r="BT42" s="212"/>
      <c r="BU42" s="209"/>
      <c r="BV42" s="212"/>
      <c r="BW42" s="211"/>
      <c r="BX42" s="215"/>
      <c r="BY42" s="211"/>
      <c r="BZ42" s="212"/>
      <c r="CA42" s="211"/>
      <c r="CB42" s="212"/>
      <c r="CC42" s="211"/>
      <c r="CD42" s="208"/>
      <c r="CE42" s="211"/>
      <c r="CF42" s="212"/>
      <c r="CG42" s="211"/>
      <c r="CH42" s="212"/>
      <c r="CI42" s="211"/>
      <c r="CJ42" s="212"/>
      <c r="CK42" s="211"/>
      <c r="CL42" s="215">
        <v>1</v>
      </c>
      <c r="CM42" s="211">
        <v>500</v>
      </c>
      <c r="CN42" s="74"/>
      <c r="CO42" s="70"/>
      <c r="CP42" s="220"/>
      <c r="CQ42" s="220"/>
      <c r="CR42" s="212"/>
      <c r="CS42" s="211"/>
      <c r="CT42" s="212"/>
      <c r="CU42" s="211"/>
      <c r="CV42" s="195"/>
      <c r="CW42" s="194"/>
      <c r="CX42" s="220"/>
      <c r="CY42" s="209"/>
      <c r="CZ42" s="208"/>
      <c r="DA42" s="211"/>
      <c r="DB42" s="221"/>
      <c r="DC42" s="222"/>
      <c r="DD42" s="221"/>
      <c r="DE42" s="222"/>
      <c r="DF42" s="206">
        <f t="shared" si="10"/>
        <v>0</v>
      </c>
      <c r="DG42" s="205">
        <f t="shared" si="11"/>
        <v>0</v>
      </c>
      <c r="DH42" s="207">
        <f t="shared" si="12"/>
        <v>3</v>
      </c>
      <c r="DI42" s="205">
        <f t="shared" si="13"/>
        <v>1300</v>
      </c>
      <c r="DJ42" s="223">
        <f>DH42+34</f>
        <v>37</v>
      </c>
      <c r="DK42" s="222">
        <f>DI42+41930</f>
        <v>43230</v>
      </c>
      <c r="DL42" s="7"/>
      <c r="DM42" s="7"/>
    </row>
    <row r="43" spans="1:117" x14ac:dyDescent="0.3">
      <c r="A43" s="208" t="s">
        <v>167</v>
      </c>
      <c r="B43" s="78"/>
      <c r="C43" s="209"/>
      <c r="D43" s="210"/>
      <c r="E43" s="211"/>
      <c r="F43" s="212"/>
      <c r="G43" s="211"/>
      <c r="H43" s="212"/>
      <c r="I43" s="211"/>
      <c r="J43" s="212"/>
      <c r="K43" s="211"/>
      <c r="L43" s="212"/>
      <c r="M43" s="211"/>
      <c r="N43" s="212"/>
      <c r="O43" s="211"/>
      <c r="P43" s="212"/>
      <c r="Q43" s="211"/>
      <c r="R43" s="212"/>
      <c r="S43" s="211"/>
      <c r="T43" s="213"/>
      <c r="U43" s="211"/>
      <c r="V43" s="214"/>
      <c r="W43" s="211"/>
      <c r="X43" s="214"/>
      <c r="Y43" s="211"/>
      <c r="Z43" s="212"/>
      <c r="AA43" s="211"/>
      <c r="AB43" s="212"/>
      <c r="AC43" s="211"/>
      <c r="AD43" s="215">
        <v>1</v>
      </c>
      <c r="AE43" s="211">
        <v>2140</v>
      </c>
      <c r="AF43" s="212"/>
      <c r="AG43" s="211"/>
      <c r="AH43" s="212"/>
      <c r="AI43" s="211"/>
      <c r="AJ43" s="212"/>
      <c r="AK43" s="211"/>
      <c r="AL43" s="212"/>
      <c r="AM43" s="211"/>
      <c r="AN43" s="212"/>
      <c r="AO43" s="211"/>
      <c r="AP43" s="212"/>
      <c r="AQ43" s="211"/>
      <c r="AR43" s="212"/>
      <c r="AS43" s="211"/>
      <c r="AT43" s="212"/>
      <c r="AU43" s="211"/>
      <c r="AV43" s="216"/>
      <c r="AW43" s="211"/>
      <c r="AX43" s="212"/>
      <c r="AY43" s="211"/>
      <c r="AZ43" s="212"/>
      <c r="BA43" s="211"/>
      <c r="BB43" s="212"/>
      <c r="BC43" s="211"/>
      <c r="BD43" s="212"/>
      <c r="BE43" s="211"/>
      <c r="BF43" s="212"/>
      <c r="BG43" s="211"/>
      <c r="BH43" s="212"/>
      <c r="BI43" s="211"/>
      <c r="BJ43" s="212"/>
      <c r="BK43" s="211"/>
      <c r="BL43" s="212"/>
      <c r="BM43" s="211"/>
      <c r="BN43" s="216"/>
      <c r="BO43" s="211"/>
      <c r="BP43" s="217"/>
      <c r="BQ43" s="218"/>
      <c r="BR43" s="219"/>
      <c r="BS43" s="219"/>
      <c r="BT43" s="212"/>
      <c r="BU43" s="209"/>
      <c r="BV43" s="212"/>
      <c r="BW43" s="211"/>
      <c r="BX43" s="215"/>
      <c r="BY43" s="211"/>
      <c r="BZ43" s="212"/>
      <c r="CA43" s="211"/>
      <c r="CB43" s="212"/>
      <c r="CC43" s="211"/>
      <c r="CD43" s="208">
        <v>1</v>
      </c>
      <c r="CE43" s="211">
        <v>1800</v>
      </c>
      <c r="CF43" s="212"/>
      <c r="CG43" s="211"/>
      <c r="CH43" s="212"/>
      <c r="CI43" s="211"/>
      <c r="CJ43" s="212"/>
      <c r="CK43" s="211"/>
      <c r="CL43" s="215"/>
      <c r="CM43" s="211"/>
      <c r="CN43" s="74"/>
      <c r="CO43" s="70"/>
      <c r="CP43" s="220"/>
      <c r="CQ43" s="220"/>
      <c r="CR43" s="212"/>
      <c r="CS43" s="211"/>
      <c r="CT43" s="212"/>
      <c r="CU43" s="211"/>
      <c r="CV43" s="195"/>
      <c r="CW43" s="194"/>
      <c r="CX43" s="220"/>
      <c r="CY43" s="209"/>
      <c r="CZ43" s="208"/>
      <c r="DA43" s="211"/>
      <c r="DB43" s="221"/>
      <c r="DC43" s="222"/>
      <c r="DD43" s="221"/>
      <c r="DE43" s="222"/>
      <c r="DF43" s="206">
        <f t="shared" si="10"/>
        <v>0</v>
      </c>
      <c r="DG43" s="205">
        <f t="shared" si="11"/>
        <v>0</v>
      </c>
      <c r="DH43" s="207">
        <f t="shared" si="12"/>
        <v>2</v>
      </c>
      <c r="DI43" s="205">
        <f t="shared" si="13"/>
        <v>3940</v>
      </c>
      <c r="DJ43" s="223">
        <f>DH43+9</f>
        <v>11</v>
      </c>
      <c r="DK43" s="222">
        <f>DI43+18450</f>
        <v>22390</v>
      </c>
      <c r="DL43" s="7"/>
      <c r="DM43" s="7"/>
    </row>
    <row r="44" spans="1:117" x14ac:dyDescent="0.3">
      <c r="A44" s="208" t="s">
        <v>168</v>
      </c>
      <c r="B44" s="78"/>
      <c r="C44" s="209"/>
      <c r="D44" s="210"/>
      <c r="E44" s="211"/>
      <c r="F44" s="212"/>
      <c r="G44" s="211"/>
      <c r="H44" s="212"/>
      <c r="I44" s="211"/>
      <c r="J44" s="212">
        <v>2</v>
      </c>
      <c r="K44" s="211">
        <v>8280</v>
      </c>
      <c r="L44" s="212"/>
      <c r="M44" s="211"/>
      <c r="N44" s="212">
        <v>1</v>
      </c>
      <c r="O44" s="211">
        <v>2000</v>
      </c>
      <c r="P44" s="212"/>
      <c r="Q44" s="211"/>
      <c r="R44" s="212">
        <v>1</v>
      </c>
      <c r="S44" s="211">
        <v>4300</v>
      </c>
      <c r="T44" s="213"/>
      <c r="U44" s="211"/>
      <c r="V44" s="214"/>
      <c r="W44" s="211"/>
      <c r="X44" s="214">
        <v>1</v>
      </c>
      <c r="Y44" s="211">
        <v>300</v>
      </c>
      <c r="Z44" s="212"/>
      <c r="AA44" s="211"/>
      <c r="AB44" s="212"/>
      <c r="AC44" s="211"/>
      <c r="AD44" s="215">
        <v>1</v>
      </c>
      <c r="AE44" s="211">
        <v>300</v>
      </c>
      <c r="AF44" s="212"/>
      <c r="AG44" s="211"/>
      <c r="AH44" s="212"/>
      <c r="AI44" s="211"/>
      <c r="AJ44" s="212">
        <v>3</v>
      </c>
      <c r="AK44" s="211">
        <v>6500</v>
      </c>
      <c r="AL44" s="212"/>
      <c r="AM44" s="211"/>
      <c r="AN44" s="212"/>
      <c r="AO44" s="211"/>
      <c r="AP44" s="212"/>
      <c r="AQ44" s="211"/>
      <c r="AR44" s="212"/>
      <c r="AS44" s="211"/>
      <c r="AT44" s="212">
        <v>1</v>
      </c>
      <c r="AU44" s="211">
        <v>1040</v>
      </c>
      <c r="AV44" s="216">
        <v>1</v>
      </c>
      <c r="AW44" s="211">
        <v>1800</v>
      </c>
      <c r="AX44" s="212"/>
      <c r="AY44" s="211"/>
      <c r="AZ44" s="212"/>
      <c r="BA44" s="211"/>
      <c r="BB44" s="212">
        <v>1</v>
      </c>
      <c r="BC44" s="211">
        <v>1800</v>
      </c>
      <c r="BD44" s="212"/>
      <c r="BE44" s="211"/>
      <c r="BF44" s="212"/>
      <c r="BG44" s="211"/>
      <c r="BH44" s="212"/>
      <c r="BI44" s="211"/>
      <c r="BJ44" s="212">
        <v>1</v>
      </c>
      <c r="BK44" s="211">
        <v>900</v>
      </c>
      <c r="BL44" s="212">
        <v>1</v>
      </c>
      <c r="BM44" s="211">
        <v>500</v>
      </c>
      <c r="BN44" s="216">
        <v>2</v>
      </c>
      <c r="BO44" s="211">
        <v>5260</v>
      </c>
      <c r="BP44" s="217"/>
      <c r="BQ44" s="218"/>
      <c r="BR44" s="219"/>
      <c r="BS44" s="219"/>
      <c r="BT44" s="212"/>
      <c r="BU44" s="209"/>
      <c r="BV44" s="212">
        <v>1</v>
      </c>
      <c r="BW44" s="211">
        <v>2000</v>
      </c>
      <c r="BX44" s="215">
        <v>1</v>
      </c>
      <c r="BY44" s="211">
        <v>2800</v>
      </c>
      <c r="BZ44" s="212"/>
      <c r="CA44" s="211"/>
      <c r="CB44" s="212"/>
      <c r="CC44" s="211"/>
      <c r="CD44" s="208">
        <v>1</v>
      </c>
      <c r="CE44" s="211">
        <v>1800</v>
      </c>
      <c r="CF44" s="212"/>
      <c r="CG44" s="211"/>
      <c r="CH44" s="212">
        <v>1</v>
      </c>
      <c r="CI44" s="211">
        <v>480</v>
      </c>
      <c r="CJ44" s="212"/>
      <c r="CK44" s="211"/>
      <c r="CL44" s="215"/>
      <c r="CM44" s="211"/>
      <c r="CN44" s="220"/>
      <c r="CO44" s="209"/>
      <c r="CP44" s="220">
        <v>4</v>
      </c>
      <c r="CQ44" s="220">
        <v>9500</v>
      </c>
      <c r="CR44" s="212"/>
      <c r="CS44" s="211"/>
      <c r="CT44" s="212"/>
      <c r="CU44" s="211"/>
      <c r="CV44" s="195"/>
      <c r="CW44" s="194"/>
      <c r="CX44" s="220"/>
      <c r="CY44" s="209"/>
      <c r="CZ44" s="208"/>
      <c r="DA44" s="211"/>
      <c r="DB44" s="221"/>
      <c r="DC44" s="222"/>
      <c r="DD44" s="221">
        <v>3</v>
      </c>
      <c r="DE44" s="222">
        <v>6000</v>
      </c>
      <c r="DF44" s="206">
        <f t="shared" si="10"/>
        <v>3</v>
      </c>
      <c r="DG44" s="205">
        <f t="shared" si="11"/>
        <v>6000</v>
      </c>
      <c r="DH44" s="207">
        <f t="shared" si="12"/>
        <v>27</v>
      </c>
      <c r="DI44" s="205">
        <f t="shared" si="13"/>
        <v>55560</v>
      </c>
      <c r="DJ44" s="223">
        <f>DH44+387</f>
        <v>414</v>
      </c>
      <c r="DK44" s="222">
        <f>DI44+849067</f>
        <v>904627</v>
      </c>
      <c r="DL44" s="7"/>
      <c r="DM44" s="7"/>
    </row>
    <row r="45" spans="1:117" ht="54.75" customHeight="1" x14ac:dyDescent="0.3">
      <c r="A45" s="208" t="s">
        <v>169</v>
      </c>
      <c r="B45" s="78">
        <v>1</v>
      </c>
      <c r="C45" s="209">
        <v>4000</v>
      </c>
      <c r="D45" s="210"/>
      <c r="E45" s="211"/>
      <c r="F45" s="212">
        <v>4</v>
      </c>
      <c r="G45" s="211">
        <v>8800</v>
      </c>
      <c r="H45" s="212"/>
      <c r="I45" s="211"/>
      <c r="J45" s="212">
        <v>1</v>
      </c>
      <c r="K45" s="211">
        <v>3800</v>
      </c>
      <c r="L45" s="212">
        <v>2</v>
      </c>
      <c r="M45" s="211">
        <v>7000</v>
      </c>
      <c r="N45" s="212">
        <v>2</v>
      </c>
      <c r="O45" s="211">
        <v>7500</v>
      </c>
      <c r="P45" s="212">
        <v>2</v>
      </c>
      <c r="Q45" s="211">
        <v>2900</v>
      </c>
      <c r="R45" s="212">
        <v>1</v>
      </c>
      <c r="S45" s="211">
        <v>2500</v>
      </c>
      <c r="T45" s="213">
        <v>5</v>
      </c>
      <c r="U45" s="211">
        <v>17000</v>
      </c>
      <c r="V45" s="214">
        <v>5</v>
      </c>
      <c r="W45" s="211">
        <v>12250</v>
      </c>
      <c r="X45" s="214">
        <v>5</v>
      </c>
      <c r="Y45" s="211">
        <v>14561</v>
      </c>
      <c r="Z45" s="212">
        <v>3</v>
      </c>
      <c r="AA45" s="211">
        <v>2400</v>
      </c>
      <c r="AB45" s="212">
        <v>2</v>
      </c>
      <c r="AC45" s="211">
        <v>5030</v>
      </c>
      <c r="AD45" s="215"/>
      <c r="AE45" s="211"/>
      <c r="AF45" s="212">
        <v>4</v>
      </c>
      <c r="AG45" s="211">
        <v>3770</v>
      </c>
      <c r="AH45" s="212"/>
      <c r="AI45" s="211"/>
      <c r="AJ45" s="212"/>
      <c r="AK45" s="211"/>
      <c r="AL45" s="212">
        <v>2</v>
      </c>
      <c r="AM45" s="211">
        <v>2050</v>
      </c>
      <c r="AN45" s="212">
        <v>1</v>
      </c>
      <c r="AO45" s="211">
        <v>2000</v>
      </c>
      <c r="AP45" s="212">
        <v>2</v>
      </c>
      <c r="AQ45" s="211">
        <v>2320</v>
      </c>
      <c r="AR45" s="212">
        <v>3</v>
      </c>
      <c r="AS45" s="211">
        <v>4400</v>
      </c>
      <c r="AT45" s="212">
        <v>2</v>
      </c>
      <c r="AU45" s="211">
        <v>4500</v>
      </c>
      <c r="AV45" s="216">
        <v>3</v>
      </c>
      <c r="AW45" s="211">
        <v>3700</v>
      </c>
      <c r="AX45" s="212">
        <v>3</v>
      </c>
      <c r="AY45" s="211">
        <v>4000</v>
      </c>
      <c r="AZ45" s="212">
        <v>1</v>
      </c>
      <c r="BA45" s="211">
        <v>350</v>
      </c>
      <c r="BB45" s="212">
        <v>3</v>
      </c>
      <c r="BC45" s="211">
        <v>1400</v>
      </c>
      <c r="BD45" s="212">
        <v>1</v>
      </c>
      <c r="BE45" s="211">
        <v>300</v>
      </c>
      <c r="BF45" s="212">
        <v>1</v>
      </c>
      <c r="BG45" s="211">
        <v>2000</v>
      </c>
      <c r="BH45" s="212">
        <v>2</v>
      </c>
      <c r="BI45" s="211">
        <v>4000</v>
      </c>
      <c r="BJ45" s="212">
        <v>1</v>
      </c>
      <c r="BK45" s="211">
        <v>2000</v>
      </c>
      <c r="BL45" s="212">
        <v>2</v>
      </c>
      <c r="BM45" s="211">
        <v>4500</v>
      </c>
      <c r="BN45" s="216">
        <v>3</v>
      </c>
      <c r="BO45" s="211">
        <v>2000</v>
      </c>
      <c r="BP45" s="213">
        <v>4</v>
      </c>
      <c r="BQ45" s="218">
        <v>6300</v>
      </c>
      <c r="BR45" s="224">
        <v>1</v>
      </c>
      <c r="BS45" s="225">
        <v>1000</v>
      </c>
      <c r="BT45" s="212"/>
      <c r="BU45" s="209"/>
      <c r="BV45" s="212">
        <v>2</v>
      </c>
      <c r="BW45" s="211">
        <v>3900</v>
      </c>
      <c r="BX45" s="215">
        <v>1</v>
      </c>
      <c r="BY45" s="211">
        <v>2300</v>
      </c>
      <c r="BZ45" s="212">
        <v>3</v>
      </c>
      <c r="CA45" s="211">
        <v>5117</v>
      </c>
      <c r="CB45" s="212">
        <v>1</v>
      </c>
      <c r="CC45" s="211">
        <v>1120</v>
      </c>
      <c r="CD45" s="208">
        <v>1</v>
      </c>
      <c r="CE45" s="211">
        <v>500</v>
      </c>
      <c r="CF45" s="212">
        <v>2</v>
      </c>
      <c r="CG45" s="211">
        <v>4300</v>
      </c>
      <c r="CH45" s="212">
        <v>4</v>
      </c>
      <c r="CI45" s="211">
        <v>5790</v>
      </c>
      <c r="CJ45" s="212"/>
      <c r="CK45" s="211"/>
      <c r="CL45" s="215">
        <v>3</v>
      </c>
      <c r="CM45" s="211">
        <v>4850</v>
      </c>
      <c r="CN45" s="220">
        <v>3</v>
      </c>
      <c r="CO45" s="209">
        <v>5800</v>
      </c>
      <c r="CP45" s="220">
        <v>3</v>
      </c>
      <c r="CQ45" s="220">
        <v>5600</v>
      </c>
      <c r="CR45" s="212">
        <v>1</v>
      </c>
      <c r="CS45" s="211">
        <v>3000</v>
      </c>
      <c r="CT45" s="212"/>
      <c r="CU45" s="211"/>
      <c r="CV45" s="195"/>
      <c r="CW45" s="194"/>
      <c r="CX45" s="220">
        <v>4</v>
      </c>
      <c r="CY45" s="209">
        <v>8900</v>
      </c>
      <c r="CZ45" s="208">
        <v>6</v>
      </c>
      <c r="DA45" s="211">
        <v>13500</v>
      </c>
      <c r="DB45" s="221">
        <v>7</v>
      </c>
      <c r="DC45" s="222">
        <v>18000</v>
      </c>
      <c r="DD45" s="221">
        <v>5</v>
      </c>
      <c r="DE45" s="222">
        <v>10500</v>
      </c>
      <c r="DF45" s="206">
        <f t="shared" si="10"/>
        <v>22</v>
      </c>
      <c r="DG45" s="205">
        <f t="shared" si="11"/>
        <v>50900</v>
      </c>
      <c r="DH45" s="207">
        <f t="shared" si="12"/>
        <v>118</v>
      </c>
      <c r="DI45" s="205">
        <f t="shared" si="13"/>
        <v>231508</v>
      </c>
      <c r="DJ45" s="223">
        <f>DH45+1974</f>
        <v>2092</v>
      </c>
      <c r="DK45" s="222">
        <f>DI45+2604584.6</f>
        <v>2836092.6</v>
      </c>
      <c r="DL45" s="7"/>
      <c r="DM45" s="7"/>
    </row>
    <row r="46" spans="1:117" x14ac:dyDescent="0.3">
      <c r="A46" s="208" t="s">
        <v>170</v>
      </c>
      <c r="B46" s="78">
        <v>1</v>
      </c>
      <c r="C46" s="209">
        <v>1500</v>
      </c>
      <c r="D46" s="210">
        <v>1</v>
      </c>
      <c r="E46" s="211">
        <v>4470</v>
      </c>
      <c r="F46" s="212"/>
      <c r="G46" s="211"/>
      <c r="H46" s="212">
        <v>1</v>
      </c>
      <c r="I46" s="211">
        <v>250</v>
      </c>
      <c r="J46" s="212"/>
      <c r="K46" s="211"/>
      <c r="L46" s="212"/>
      <c r="M46" s="211"/>
      <c r="N46" s="212">
        <v>1</v>
      </c>
      <c r="O46" s="211">
        <v>500</v>
      </c>
      <c r="P46" s="212">
        <v>1</v>
      </c>
      <c r="Q46" s="211">
        <v>2100</v>
      </c>
      <c r="R46" s="212"/>
      <c r="S46" s="211"/>
      <c r="T46" s="213">
        <v>1</v>
      </c>
      <c r="U46" s="211">
        <v>4000</v>
      </c>
      <c r="V46" s="214"/>
      <c r="W46" s="211"/>
      <c r="X46" s="214"/>
      <c r="Y46" s="211"/>
      <c r="Z46" s="212"/>
      <c r="AA46" s="211"/>
      <c r="AB46" s="212"/>
      <c r="AC46" s="211"/>
      <c r="AD46" s="215">
        <v>1</v>
      </c>
      <c r="AE46" s="211">
        <v>500</v>
      </c>
      <c r="AF46" s="212">
        <v>1</v>
      </c>
      <c r="AG46" s="211">
        <v>2200</v>
      </c>
      <c r="AH46" s="212"/>
      <c r="AI46" s="211"/>
      <c r="AJ46" s="212">
        <v>1</v>
      </c>
      <c r="AK46" s="211">
        <v>500</v>
      </c>
      <c r="AL46" s="212"/>
      <c r="AM46" s="211"/>
      <c r="AN46" s="212"/>
      <c r="AO46" s="211"/>
      <c r="AP46" s="212"/>
      <c r="AQ46" s="211"/>
      <c r="AR46" s="212">
        <v>1</v>
      </c>
      <c r="AS46" s="211">
        <v>2200</v>
      </c>
      <c r="AT46" s="212"/>
      <c r="AU46" s="211"/>
      <c r="AV46" s="216">
        <v>1</v>
      </c>
      <c r="AW46" s="211">
        <v>1200</v>
      </c>
      <c r="AX46" s="212"/>
      <c r="AY46" s="211"/>
      <c r="AZ46" s="212"/>
      <c r="BA46" s="211"/>
      <c r="BB46" s="212">
        <v>1</v>
      </c>
      <c r="BC46" s="211">
        <v>300</v>
      </c>
      <c r="BD46" s="212"/>
      <c r="BE46" s="211"/>
      <c r="BF46" s="212"/>
      <c r="BG46" s="211"/>
      <c r="BH46" s="212"/>
      <c r="BI46" s="211"/>
      <c r="BJ46" s="212"/>
      <c r="BK46" s="211"/>
      <c r="BL46" s="212">
        <v>2</v>
      </c>
      <c r="BM46" s="211">
        <v>3500</v>
      </c>
      <c r="BN46" s="216"/>
      <c r="BO46" s="211"/>
      <c r="BP46" s="217"/>
      <c r="BQ46" s="218"/>
      <c r="BR46" s="219">
        <v>1</v>
      </c>
      <c r="BS46" s="226">
        <v>500</v>
      </c>
      <c r="BT46" s="212"/>
      <c r="BU46" s="209"/>
      <c r="BV46" s="212"/>
      <c r="BW46" s="211"/>
      <c r="BX46" s="215">
        <v>1</v>
      </c>
      <c r="BY46" s="211">
        <v>1260</v>
      </c>
      <c r="BZ46" s="212"/>
      <c r="CA46" s="211"/>
      <c r="CB46" s="212"/>
      <c r="CC46" s="211"/>
      <c r="CD46" s="208">
        <v>1</v>
      </c>
      <c r="CE46" s="211">
        <v>3000</v>
      </c>
      <c r="CF46" s="212"/>
      <c r="CG46" s="211"/>
      <c r="CH46" s="212"/>
      <c r="CI46" s="211"/>
      <c r="CJ46" s="212">
        <v>1</v>
      </c>
      <c r="CK46" s="211">
        <v>3000</v>
      </c>
      <c r="CL46" s="215"/>
      <c r="CM46" s="211"/>
      <c r="CN46" s="220">
        <v>1</v>
      </c>
      <c r="CO46" s="209">
        <v>500</v>
      </c>
      <c r="CP46" s="220">
        <v>2</v>
      </c>
      <c r="CQ46" s="220">
        <v>6000</v>
      </c>
      <c r="CR46" s="212"/>
      <c r="CS46" s="211"/>
      <c r="CT46" s="212"/>
      <c r="CU46" s="211"/>
      <c r="CV46" s="195"/>
      <c r="CW46" s="194"/>
      <c r="CX46" s="220"/>
      <c r="CY46" s="209"/>
      <c r="CZ46" s="208">
        <v>1</v>
      </c>
      <c r="DA46" s="211">
        <v>2500</v>
      </c>
      <c r="DB46" s="221">
        <v>1</v>
      </c>
      <c r="DC46" s="222">
        <v>500</v>
      </c>
      <c r="DD46" s="221">
        <v>1</v>
      </c>
      <c r="DE46" s="222">
        <v>3000</v>
      </c>
      <c r="DF46" s="206">
        <f t="shared" si="10"/>
        <v>3</v>
      </c>
      <c r="DG46" s="205">
        <f t="shared" si="11"/>
        <v>6000</v>
      </c>
      <c r="DH46" s="207">
        <f t="shared" si="12"/>
        <v>24</v>
      </c>
      <c r="DI46" s="205">
        <f t="shared" si="13"/>
        <v>43480</v>
      </c>
      <c r="DJ46" s="223">
        <f>DH46+123</f>
        <v>147</v>
      </c>
      <c r="DK46" s="222">
        <f>DI46+184832</f>
        <v>228312</v>
      </c>
      <c r="DL46" s="7"/>
      <c r="DM46" s="7"/>
    </row>
    <row r="47" spans="1:117" ht="15" customHeight="1" x14ac:dyDescent="0.3">
      <c r="A47" s="208" t="s">
        <v>171</v>
      </c>
      <c r="B47" s="78">
        <v>1</v>
      </c>
      <c r="C47" s="209">
        <v>1350</v>
      </c>
      <c r="D47" s="210">
        <v>1</v>
      </c>
      <c r="E47" s="211">
        <v>5000</v>
      </c>
      <c r="F47" s="212">
        <v>2</v>
      </c>
      <c r="G47" s="211">
        <v>8000</v>
      </c>
      <c r="H47" s="212"/>
      <c r="I47" s="211"/>
      <c r="J47" s="212">
        <v>2</v>
      </c>
      <c r="K47" s="211">
        <v>4200</v>
      </c>
      <c r="L47" s="212">
        <v>1</v>
      </c>
      <c r="M47" s="211">
        <v>1000</v>
      </c>
      <c r="N47" s="212">
        <v>3</v>
      </c>
      <c r="O47" s="211">
        <v>9000</v>
      </c>
      <c r="P47" s="212">
        <v>2</v>
      </c>
      <c r="Q47" s="211">
        <v>4800</v>
      </c>
      <c r="R47" s="212">
        <v>1</v>
      </c>
      <c r="S47" s="211">
        <v>3511</v>
      </c>
      <c r="T47" s="213"/>
      <c r="U47" s="211"/>
      <c r="V47" s="214">
        <v>2</v>
      </c>
      <c r="W47" s="211">
        <v>5200</v>
      </c>
      <c r="X47" s="214"/>
      <c r="Y47" s="211"/>
      <c r="Z47" s="212"/>
      <c r="AA47" s="211"/>
      <c r="AB47" s="212">
        <v>1</v>
      </c>
      <c r="AC47" s="211">
        <v>4000</v>
      </c>
      <c r="AD47" s="215">
        <v>2</v>
      </c>
      <c r="AE47" s="211">
        <v>800</v>
      </c>
      <c r="AF47" s="212">
        <v>2</v>
      </c>
      <c r="AG47" s="211">
        <v>2800</v>
      </c>
      <c r="AH47" s="212">
        <v>1</v>
      </c>
      <c r="AI47" s="211">
        <v>900</v>
      </c>
      <c r="AJ47" s="212">
        <v>1</v>
      </c>
      <c r="AK47" s="211">
        <v>2200</v>
      </c>
      <c r="AL47" s="212">
        <v>1</v>
      </c>
      <c r="AM47" s="211">
        <v>2500</v>
      </c>
      <c r="AN47" s="212">
        <v>2</v>
      </c>
      <c r="AO47" s="211">
        <v>3300</v>
      </c>
      <c r="AP47" s="212"/>
      <c r="AQ47" s="211"/>
      <c r="AR47" s="212">
        <v>3</v>
      </c>
      <c r="AS47" s="211">
        <v>5800</v>
      </c>
      <c r="AT47" s="212">
        <v>1</v>
      </c>
      <c r="AU47" s="211">
        <v>3000</v>
      </c>
      <c r="AV47" s="216"/>
      <c r="AW47" s="211"/>
      <c r="AX47" s="212">
        <v>1</v>
      </c>
      <c r="AY47" s="211">
        <v>2300</v>
      </c>
      <c r="AZ47" s="212"/>
      <c r="BA47" s="211"/>
      <c r="BB47" s="212">
        <v>2</v>
      </c>
      <c r="BC47" s="211">
        <v>2800</v>
      </c>
      <c r="BD47" s="212">
        <v>1</v>
      </c>
      <c r="BE47" s="211">
        <v>2500</v>
      </c>
      <c r="BF47" s="212"/>
      <c r="BG47" s="211"/>
      <c r="BH47" s="212">
        <v>1</v>
      </c>
      <c r="BI47" s="211">
        <v>2000</v>
      </c>
      <c r="BJ47" s="212">
        <v>1</v>
      </c>
      <c r="BK47" s="211">
        <v>700</v>
      </c>
      <c r="BL47" s="212">
        <v>2</v>
      </c>
      <c r="BM47" s="211">
        <v>6000</v>
      </c>
      <c r="BN47" s="216"/>
      <c r="BO47" s="211"/>
      <c r="BP47" s="217">
        <v>2</v>
      </c>
      <c r="BQ47" s="218">
        <v>5500</v>
      </c>
      <c r="BR47" s="219">
        <v>2</v>
      </c>
      <c r="BS47" s="226">
        <v>6000</v>
      </c>
      <c r="BT47" s="212"/>
      <c r="BU47" s="209"/>
      <c r="BV47" s="212">
        <v>1</v>
      </c>
      <c r="BW47" s="211">
        <v>500</v>
      </c>
      <c r="BX47" s="215">
        <v>4</v>
      </c>
      <c r="BY47" s="211">
        <v>11500</v>
      </c>
      <c r="BZ47" s="212"/>
      <c r="CA47" s="211"/>
      <c r="CB47" s="212">
        <v>1</v>
      </c>
      <c r="CC47" s="211">
        <v>300</v>
      </c>
      <c r="CD47" s="208">
        <v>1</v>
      </c>
      <c r="CE47" s="211">
        <v>3000</v>
      </c>
      <c r="CF47" s="212">
        <v>2</v>
      </c>
      <c r="CG47" s="211">
        <v>5020</v>
      </c>
      <c r="CH47" s="212">
        <v>1</v>
      </c>
      <c r="CI47" s="211">
        <v>900</v>
      </c>
      <c r="CJ47" s="212">
        <v>1</v>
      </c>
      <c r="CK47" s="211">
        <v>3000</v>
      </c>
      <c r="CL47" s="215">
        <v>2</v>
      </c>
      <c r="CM47" s="211">
        <v>800</v>
      </c>
      <c r="CN47" s="220">
        <v>5</v>
      </c>
      <c r="CO47" s="209">
        <v>7000</v>
      </c>
      <c r="CP47" s="220"/>
      <c r="CQ47" s="220"/>
      <c r="CR47" s="212">
        <v>2</v>
      </c>
      <c r="CS47" s="211">
        <v>6000</v>
      </c>
      <c r="CT47" s="212">
        <v>3</v>
      </c>
      <c r="CU47" s="211">
        <v>6050</v>
      </c>
      <c r="CV47" s="195"/>
      <c r="CW47" s="194"/>
      <c r="CX47" s="220">
        <v>2</v>
      </c>
      <c r="CY47" s="209">
        <v>2100</v>
      </c>
      <c r="CZ47" s="208">
        <v>1</v>
      </c>
      <c r="DA47" s="211">
        <v>600</v>
      </c>
      <c r="DB47" s="221"/>
      <c r="DC47" s="222"/>
      <c r="DD47" s="221">
        <v>5</v>
      </c>
      <c r="DE47" s="222">
        <v>9862</v>
      </c>
      <c r="DF47" s="206">
        <f t="shared" si="10"/>
        <v>8</v>
      </c>
      <c r="DG47" s="205">
        <f t="shared" si="11"/>
        <v>12562</v>
      </c>
      <c r="DH47" s="207">
        <f t="shared" si="12"/>
        <v>72</v>
      </c>
      <c r="DI47" s="205">
        <f t="shared" si="13"/>
        <v>151793</v>
      </c>
      <c r="DJ47" s="223">
        <f>DH47+439</f>
        <v>511</v>
      </c>
      <c r="DK47" s="222">
        <f>DI47+989715</f>
        <v>1141508</v>
      </c>
      <c r="DL47" s="7"/>
      <c r="DM47" s="7"/>
    </row>
    <row r="48" spans="1:117" x14ac:dyDescent="0.3">
      <c r="A48" s="208" t="s">
        <v>172</v>
      </c>
      <c r="B48" s="78"/>
      <c r="C48" s="209"/>
      <c r="D48" s="210"/>
      <c r="E48" s="211"/>
      <c r="F48" s="212"/>
      <c r="G48" s="211"/>
      <c r="H48" s="212"/>
      <c r="I48" s="211"/>
      <c r="J48" s="212"/>
      <c r="K48" s="211"/>
      <c r="L48" s="212"/>
      <c r="M48" s="211"/>
      <c r="N48" s="212"/>
      <c r="O48" s="211"/>
      <c r="P48" s="212"/>
      <c r="Q48" s="211"/>
      <c r="R48" s="212"/>
      <c r="S48" s="211"/>
      <c r="T48" s="213"/>
      <c r="U48" s="211"/>
      <c r="V48" s="214"/>
      <c r="W48" s="211"/>
      <c r="X48" s="214"/>
      <c r="Y48" s="211"/>
      <c r="Z48" s="212"/>
      <c r="AA48" s="211"/>
      <c r="AB48" s="212"/>
      <c r="AC48" s="211"/>
      <c r="AD48" s="215"/>
      <c r="AE48" s="211"/>
      <c r="AF48" s="212"/>
      <c r="AG48" s="211"/>
      <c r="AH48" s="212"/>
      <c r="AI48" s="211"/>
      <c r="AJ48" s="212"/>
      <c r="AK48" s="211"/>
      <c r="AL48" s="212"/>
      <c r="AM48" s="211"/>
      <c r="AN48" s="212"/>
      <c r="AO48" s="211"/>
      <c r="AP48" s="212"/>
      <c r="AQ48" s="211"/>
      <c r="AR48" s="212"/>
      <c r="AS48" s="211"/>
      <c r="AT48" s="212"/>
      <c r="AU48" s="211"/>
      <c r="AV48" s="216"/>
      <c r="AW48" s="211"/>
      <c r="AX48" s="212"/>
      <c r="AY48" s="211"/>
      <c r="AZ48" s="212"/>
      <c r="BA48" s="211"/>
      <c r="BB48" s="212"/>
      <c r="BC48" s="211"/>
      <c r="BD48" s="212"/>
      <c r="BE48" s="211"/>
      <c r="BF48" s="212"/>
      <c r="BG48" s="211"/>
      <c r="BH48" s="212"/>
      <c r="BI48" s="211"/>
      <c r="BJ48" s="212"/>
      <c r="BK48" s="211"/>
      <c r="BL48" s="212"/>
      <c r="BM48" s="211"/>
      <c r="BN48" s="216"/>
      <c r="BO48" s="211"/>
      <c r="BP48" s="217"/>
      <c r="BQ48" s="218"/>
      <c r="BR48" s="219"/>
      <c r="BS48" s="219"/>
      <c r="BT48" s="212"/>
      <c r="BU48" s="209"/>
      <c r="BV48" s="212"/>
      <c r="BW48" s="211"/>
      <c r="BX48" s="215"/>
      <c r="BY48" s="211"/>
      <c r="BZ48" s="212"/>
      <c r="CA48" s="211"/>
      <c r="CB48" s="212"/>
      <c r="CC48" s="211"/>
      <c r="CD48" s="208"/>
      <c r="CE48" s="211"/>
      <c r="CF48" s="212"/>
      <c r="CG48" s="211"/>
      <c r="CH48" s="212"/>
      <c r="CI48" s="211"/>
      <c r="CJ48" s="212"/>
      <c r="CK48" s="211"/>
      <c r="CL48" s="215"/>
      <c r="CM48" s="211"/>
      <c r="CN48" s="74"/>
      <c r="CO48" s="70"/>
      <c r="CP48" s="220"/>
      <c r="CQ48" s="220"/>
      <c r="CR48" s="212"/>
      <c r="CS48" s="211"/>
      <c r="CT48" s="212"/>
      <c r="CU48" s="211"/>
      <c r="CV48" s="195"/>
      <c r="CW48" s="194"/>
      <c r="CX48" s="220"/>
      <c r="CY48" s="209"/>
      <c r="CZ48" s="208"/>
      <c r="DA48" s="211"/>
      <c r="DB48" s="221"/>
      <c r="DC48" s="222"/>
      <c r="DD48" s="221"/>
      <c r="DE48" s="222"/>
      <c r="DF48" s="206">
        <f t="shared" si="10"/>
        <v>0</v>
      </c>
      <c r="DG48" s="205">
        <f t="shared" si="11"/>
        <v>0</v>
      </c>
      <c r="DH48" s="207">
        <f t="shared" si="12"/>
        <v>0</v>
      </c>
      <c r="DI48" s="205">
        <f t="shared" si="13"/>
        <v>0</v>
      </c>
      <c r="DJ48" s="223">
        <f>DH48+0</f>
        <v>0</v>
      </c>
      <c r="DK48" s="222">
        <f>DI48+0</f>
        <v>0</v>
      </c>
      <c r="DL48" s="7"/>
      <c r="DM48" s="7"/>
    </row>
    <row r="49" spans="1:117" ht="30" customHeight="1" x14ac:dyDescent="0.3">
      <c r="A49" s="208" t="s">
        <v>173</v>
      </c>
      <c r="B49" s="78"/>
      <c r="C49" s="209"/>
      <c r="D49" s="210"/>
      <c r="E49" s="211"/>
      <c r="F49" s="212"/>
      <c r="G49" s="211"/>
      <c r="H49" s="212">
        <v>1</v>
      </c>
      <c r="I49" s="211">
        <v>1000</v>
      </c>
      <c r="J49" s="212"/>
      <c r="K49" s="211"/>
      <c r="L49" s="212"/>
      <c r="M49" s="211"/>
      <c r="N49" s="212"/>
      <c r="O49" s="211"/>
      <c r="P49" s="212">
        <v>1</v>
      </c>
      <c r="Q49" s="211">
        <v>300</v>
      </c>
      <c r="R49" s="212"/>
      <c r="S49" s="211"/>
      <c r="T49" s="213">
        <v>3</v>
      </c>
      <c r="U49" s="211">
        <v>865</v>
      </c>
      <c r="V49" s="214"/>
      <c r="W49" s="211"/>
      <c r="X49" s="214"/>
      <c r="Y49" s="211"/>
      <c r="Z49" s="212"/>
      <c r="AA49" s="211"/>
      <c r="AB49" s="212"/>
      <c r="AC49" s="211"/>
      <c r="AD49" s="215">
        <v>1</v>
      </c>
      <c r="AE49" s="211">
        <v>280</v>
      </c>
      <c r="AF49" s="212">
        <v>1</v>
      </c>
      <c r="AG49" s="211">
        <v>1300</v>
      </c>
      <c r="AH49" s="212"/>
      <c r="AI49" s="211"/>
      <c r="AJ49" s="212">
        <v>1</v>
      </c>
      <c r="AK49" s="211">
        <v>960</v>
      </c>
      <c r="AL49" s="212"/>
      <c r="AM49" s="211"/>
      <c r="AN49" s="212"/>
      <c r="AO49" s="211"/>
      <c r="AP49" s="212"/>
      <c r="AQ49" s="211"/>
      <c r="AR49" s="212">
        <v>1</v>
      </c>
      <c r="AS49" s="211">
        <v>1500</v>
      </c>
      <c r="AT49" s="212">
        <v>1</v>
      </c>
      <c r="AU49" s="211">
        <v>3000</v>
      </c>
      <c r="AV49" s="216"/>
      <c r="AW49" s="211"/>
      <c r="AX49" s="212"/>
      <c r="AY49" s="211"/>
      <c r="AZ49" s="212"/>
      <c r="BA49" s="211"/>
      <c r="BB49" s="212"/>
      <c r="BC49" s="211"/>
      <c r="BD49" s="212"/>
      <c r="BE49" s="211"/>
      <c r="BF49" s="212">
        <v>1</v>
      </c>
      <c r="BG49" s="211">
        <v>1100</v>
      </c>
      <c r="BH49" s="212"/>
      <c r="BI49" s="211"/>
      <c r="BJ49" s="212"/>
      <c r="BK49" s="211"/>
      <c r="BL49" s="212"/>
      <c r="BM49" s="211"/>
      <c r="BN49" s="216">
        <v>1</v>
      </c>
      <c r="BO49" s="211">
        <v>500</v>
      </c>
      <c r="BP49" s="217">
        <v>1</v>
      </c>
      <c r="BQ49" s="218">
        <v>300</v>
      </c>
      <c r="BR49" s="224">
        <v>2</v>
      </c>
      <c r="BS49" s="225">
        <v>800</v>
      </c>
      <c r="BT49" s="212"/>
      <c r="BU49" s="209"/>
      <c r="BV49" s="212"/>
      <c r="BW49" s="211"/>
      <c r="BX49" s="215">
        <v>1</v>
      </c>
      <c r="BY49" s="211">
        <v>1500</v>
      </c>
      <c r="BZ49" s="212">
        <v>1</v>
      </c>
      <c r="CA49" s="211">
        <v>350</v>
      </c>
      <c r="CB49" s="212"/>
      <c r="CC49" s="211"/>
      <c r="CD49" s="208">
        <v>1</v>
      </c>
      <c r="CE49" s="211">
        <v>600</v>
      </c>
      <c r="CF49" s="212">
        <v>1</v>
      </c>
      <c r="CG49" s="211">
        <v>300</v>
      </c>
      <c r="CH49" s="212"/>
      <c r="CI49" s="211"/>
      <c r="CJ49" s="212">
        <v>1</v>
      </c>
      <c r="CK49" s="211">
        <v>1500</v>
      </c>
      <c r="CL49" s="215">
        <v>1</v>
      </c>
      <c r="CM49" s="211">
        <v>300</v>
      </c>
      <c r="CN49" s="220"/>
      <c r="CO49" s="209"/>
      <c r="CP49" s="220"/>
      <c r="CQ49" s="220"/>
      <c r="CR49" s="212"/>
      <c r="CS49" s="211"/>
      <c r="CT49" s="212"/>
      <c r="CU49" s="211"/>
      <c r="CV49" s="195"/>
      <c r="CW49" s="194"/>
      <c r="CX49" s="220">
        <v>1</v>
      </c>
      <c r="CY49" s="209">
        <v>300</v>
      </c>
      <c r="CZ49" s="208"/>
      <c r="DA49" s="211"/>
      <c r="DB49" s="221">
        <v>1</v>
      </c>
      <c r="DC49" s="222">
        <v>1500</v>
      </c>
      <c r="DD49" s="221"/>
      <c r="DE49" s="222"/>
      <c r="DF49" s="206">
        <f t="shared" si="10"/>
        <v>2</v>
      </c>
      <c r="DG49" s="205">
        <f t="shared" si="11"/>
        <v>1800</v>
      </c>
      <c r="DH49" s="207">
        <f t="shared" si="12"/>
        <v>23</v>
      </c>
      <c r="DI49" s="205">
        <f t="shared" si="13"/>
        <v>18255</v>
      </c>
      <c r="DJ49" s="223">
        <f>DH49+207</f>
        <v>230</v>
      </c>
      <c r="DK49" s="222">
        <f>DI49+177405</f>
        <v>195660</v>
      </c>
      <c r="DL49" s="7"/>
      <c r="DM49" s="7"/>
    </row>
    <row r="50" spans="1:117" ht="31.2" x14ac:dyDescent="0.3">
      <c r="A50" s="208" t="s">
        <v>174</v>
      </c>
      <c r="B50" s="78"/>
      <c r="C50" s="209"/>
      <c r="D50" s="210"/>
      <c r="E50" s="211"/>
      <c r="F50" s="212"/>
      <c r="G50" s="211"/>
      <c r="H50" s="212"/>
      <c r="I50" s="211"/>
      <c r="J50" s="212"/>
      <c r="K50" s="211"/>
      <c r="L50" s="212"/>
      <c r="M50" s="211"/>
      <c r="N50" s="212"/>
      <c r="O50" s="211"/>
      <c r="P50" s="212"/>
      <c r="Q50" s="211"/>
      <c r="R50" s="212"/>
      <c r="S50" s="211"/>
      <c r="T50" s="213"/>
      <c r="U50" s="211"/>
      <c r="V50" s="214"/>
      <c r="W50" s="211"/>
      <c r="X50" s="214"/>
      <c r="Y50" s="211"/>
      <c r="Z50" s="212"/>
      <c r="AA50" s="211"/>
      <c r="AB50" s="212"/>
      <c r="AC50" s="211"/>
      <c r="AD50" s="215"/>
      <c r="AE50" s="211"/>
      <c r="AF50" s="212"/>
      <c r="AG50" s="211"/>
      <c r="AH50" s="212"/>
      <c r="AI50" s="211"/>
      <c r="AJ50" s="212"/>
      <c r="AK50" s="211"/>
      <c r="AL50" s="212"/>
      <c r="AM50" s="211"/>
      <c r="AN50" s="212"/>
      <c r="AO50" s="211"/>
      <c r="AP50" s="212"/>
      <c r="AQ50" s="211"/>
      <c r="AR50" s="212"/>
      <c r="AS50" s="211"/>
      <c r="AT50" s="212"/>
      <c r="AU50" s="211"/>
      <c r="AV50" s="216"/>
      <c r="AW50" s="211"/>
      <c r="AX50" s="212"/>
      <c r="AY50" s="211"/>
      <c r="AZ50" s="212"/>
      <c r="BA50" s="211"/>
      <c r="BB50" s="212"/>
      <c r="BC50" s="211"/>
      <c r="BD50" s="212"/>
      <c r="BE50" s="211"/>
      <c r="BF50" s="212"/>
      <c r="BG50" s="211"/>
      <c r="BH50" s="212"/>
      <c r="BI50" s="211"/>
      <c r="BJ50" s="212"/>
      <c r="BK50" s="211"/>
      <c r="BL50" s="212"/>
      <c r="BM50" s="211"/>
      <c r="BN50" s="216"/>
      <c r="BO50" s="211"/>
      <c r="BP50" s="217"/>
      <c r="BQ50" s="218"/>
      <c r="BR50" s="219"/>
      <c r="BS50" s="219"/>
      <c r="BT50" s="212"/>
      <c r="BU50" s="209"/>
      <c r="BV50" s="212"/>
      <c r="BW50" s="211"/>
      <c r="BX50" s="215">
        <v>1</v>
      </c>
      <c r="BY50" s="211">
        <v>2200</v>
      </c>
      <c r="BZ50" s="212"/>
      <c r="CA50" s="211"/>
      <c r="CB50" s="212"/>
      <c r="CC50" s="211"/>
      <c r="CD50" s="208"/>
      <c r="CE50" s="211"/>
      <c r="CF50" s="212"/>
      <c r="CG50" s="211"/>
      <c r="CH50" s="212"/>
      <c r="CI50" s="211"/>
      <c r="CJ50" s="212"/>
      <c r="CK50" s="211"/>
      <c r="CL50" s="215"/>
      <c r="CM50" s="211"/>
      <c r="CN50" s="74"/>
      <c r="CO50" s="70"/>
      <c r="CP50" s="220"/>
      <c r="CQ50" s="220"/>
      <c r="CR50" s="212"/>
      <c r="CS50" s="211"/>
      <c r="CT50" s="212"/>
      <c r="CU50" s="211"/>
      <c r="CV50" s="195"/>
      <c r="CW50" s="194"/>
      <c r="CX50" s="220"/>
      <c r="CY50" s="209"/>
      <c r="CZ50" s="208"/>
      <c r="DA50" s="211"/>
      <c r="DB50" s="221">
        <v>3</v>
      </c>
      <c r="DC50" s="222">
        <v>3120</v>
      </c>
      <c r="DD50" s="221"/>
      <c r="DE50" s="222"/>
      <c r="DF50" s="206">
        <f t="shared" si="10"/>
        <v>3</v>
      </c>
      <c r="DG50" s="205">
        <f t="shared" si="11"/>
        <v>3120</v>
      </c>
      <c r="DH50" s="207">
        <f t="shared" si="12"/>
        <v>4</v>
      </c>
      <c r="DI50" s="205">
        <f t="shared" si="13"/>
        <v>5320</v>
      </c>
      <c r="DJ50" s="223">
        <f>DH50+1</f>
        <v>5</v>
      </c>
      <c r="DK50" s="222">
        <f>DI50+350</f>
        <v>5670</v>
      </c>
      <c r="DL50" s="7"/>
      <c r="DM50" s="7"/>
    </row>
    <row r="51" spans="1:117" ht="31.2" hidden="1" x14ac:dyDescent="0.3">
      <c r="A51" s="208" t="s">
        <v>175</v>
      </c>
      <c r="B51" s="78"/>
      <c r="C51" s="209"/>
      <c r="D51" s="210"/>
      <c r="E51" s="211"/>
      <c r="F51" s="212"/>
      <c r="G51" s="211"/>
      <c r="H51" s="212"/>
      <c r="I51" s="211"/>
      <c r="J51" s="212"/>
      <c r="K51" s="211"/>
      <c r="L51" s="212"/>
      <c r="M51" s="211"/>
      <c r="N51" s="212"/>
      <c r="O51" s="211"/>
      <c r="P51" s="212"/>
      <c r="Q51" s="211"/>
      <c r="R51" s="212"/>
      <c r="S51" s="211"/>
      <c r="T51" s="213"/>
      <c r="U51" s="211"/>
      <c r="V51" s="214"/>
      <c r="W51" s="211"/>
      <c r="X51" s="214"/>
      <c r="Y51" s="211"/>
      <c r="Z51" s="212"/>
      <c r="AA51" s="211"/>
      <c r="AB51" s="212"/>
      <c r="AC51" s="211"/>
      <c r="AD51" s="215"/>
      <c r="AE51" s="211"/>
      <c r="AF51" s="212"/>
      <c r="AG51" s="211"/>
      <c r="AH51" s="212"/>
      <c r="AI51" s="211"/>
      <c r="AJ51" s="212"/>
      <c r="AK51" s="211"/>
      <c r="AL51" s="212"/>
      <c r="AM51" s="211"/>
      <c r="AN51" s="212"/>
      <c r="AO51" s="211"/>
      <c r="AP51" s="212"/>
      <c r="AQ51" s="211"/>
      <c r="AR51" s="212"/>
      <c r="AS51" s="211"/>
      <c r="AT51" s="212"/>
      <c r="AU51" s="211"/>
      <c r="AV51" s="216"/>
      <c r="AW51" s="211"/>
      <c r="AX51" s="212"/>
      <c r="AY51" s="211"/>
      <c r="AZ51" s="212"/>
      <c r="BA51" s="211"/>
      <c r="BB51" s="212"/>
      <c r="BC51" s="211"/>
      <c r="BD51" s="212"/>
      <c r="BE51" s="211"/>
      <c r="BF51" s="212"/>
      <c r="BG51" s="211"/>
      <c r="BH51" s="212"/>
      <c r="BI51" s="211"/>
      <c r="BJ51" s="212"/>
      <c r="BK51" s="211"/>
      <c r="BL51" s="212"/>
      <c r="BM51" s="211"/>
      <c r="BN51" s="216"/>
      <c r="BO51" s="211"/>
      <c r="BP51" s="217"/>
      <c r="BQ51" s="218"/>
      <c r="BR51" s="219"/>
      <c r="BS51" s="219"/>
      <c r="BT51" s="212"/>
      <c r="BU51" s="209"/>
      <c r="BV51" s="212"/>
      <c r="BW51" s="211"/>
      <c r="BX51" s="215"/>
      <c r="BY51" s="211"/>
      <c r="BZ51" s="212"/>
      <c r="CA51" s="211"/>
      <c r="CB51" s="212"/>
      <c r="CC51" s="211"/>
      <c r="CD51" s="208"/>
      <c r="CE51" s="211"/>
      <c r="CF51" s="212"/>
      <c r="CG51" s="211"/>
      <c r="CH51" s="212"/>
      <c r="CI51" s="211"/>
      <c r="CJ51" s="212"/>
      <c r="CK51" s="211"/>
      <c r="CL51" s="215"/>
      <c r="CM51" s="211"/>
      <c r="CN51" s="74"/>
      <c r="CO51" s="70"/>
      <c r="CP51" s="220"/>
      <c r="CQ51" s="220"/>
      <c r="CR51" s="212"/>
      <c r="CS51" s="211"/>
      <c r="CT51" s="212"/>
      <c r="CU51" s="211"/>
      <c r="CV51" s="195"/>
      <c r="CW51" s="194"/>
      <c r="CX51" s="220"/>
      <c r="CY51" s="209"/>
      <c r="CZ51" s="208"/>
      <c r="DA51" s="211"/>
      <c r="DB51" s="221"/>
      <c r="DC51" s="222"/>
      <c r="DD51" s="221"/>
      <c r="DE51" s="222"/>
      <c r="DF51" s="206">
        <f t="shared" si="10"/>
        <v>0</v>
      </c>
      <c r="DG51" s="205">
        <f t="shared" si="11"/>
        <v>0</v>
      </c>
      <c r="DH51" s="207"/>
      <c r="DI51" s="205"/>
      <c r="DJ51" s="223"/>
      <c r="DK51" s="222"/>
      <c r="DL51" s="7"/>
      <c r="DM51" s="7"/>
    </row>
    <row r="52" spans="1:117" x14ac:dyDescent="0.3">
      <c r="A52" s="208" t="s">
        <v>176</v>
      </c>
      <c r="B52" s="78"/>
      <c r="C52" s="209"/>
      <c r="D52" s="210"/>
      <c r="E52" s="211"/>
      <c r="F52" s="212">
        <v>1</v>
      </c>
      <c r="G52" s="211">
        <v>500</v>
      </c>
      <c r="H52" s="212"/>
      <c r="I52" s="211"/>
      <c r="J52" s="212"/>
      <c r="K52" s="211"/>
      <c r="L52" s="212"/>
      <c r="M52" s="211"/>
      <c r="N52" s="212"/>
      <c r="O52" s="211"/>
      <c r="P52" s="212"/>
      <c r="Q52" s="211"/>
      <c r="R52" s="212"/>
      <c r="S52" s="211"/>
      <c r="T52" s="213"/>
      <c r="U52" s="211"/>
      <c r="V52" s="214"/>
      <c r="W52" s="211"/>
      <c r="X52" s="214"/>
      <c r="Y52" s="211"/>
      <c r="Z52" s="212"/>
      <c r="AA52" s="211"/>
      <c r="AB52" s="212">
        <v>1</v>
      </c>
      <c r="AC52" s="211">
        <v>3000</v>
      </c>
      <c r="AD52" s="215"/>
      <c r="AE52" s="211"/>
      <c r="AF52" s="212"/>
      <c r="AG52" s="211"/>
      <c r="AH52" s="212"/>
      <c r="AI52" s="211"/>
      <c r="AJ52" s="212">
        <v>1</v>
      </c>
      <c r="AK52" s="211">
        <v>500</v>
      </c>
      <c r="AL52" s="212"/>
      <c r="AM52" s="211"/>
      <c r="AN52" s="212"/>
      <c r="AO52" s="211"/>
      <c r="AP52" s="212"/>
      <c r="AQ52" s="211"/>
      <c r="AR52" s="212"/>
      <c r="AS52" s="211"/>
      <c r="AT52" s="212"/>
      <c r="AU52" s="211"/>
      <c r="AV52" s="216"/>
      <c r="AW52" s="211"/>
      <c r="AX52" s="212"/>
      <c r="AY52" s="211"/>
      <c r="AZ52" s="212"/>
      <c r="BA52" s="211"/>
      <c r="BB52" s="212"/>
      <c r="BC52" s="211"/>
      <c r="BD52" s="212"/>
      <c r="BE52" s="211"/>
      <c r="BF52" s="212">
        <v>1</v>
      </c>
      <c r="BG52" s="211">
        <v>250</v>
      </c>
      <c r="BH52" s="212"/>
      <c r="BI52" s="211"/>
      <c r="BJ52" s="212"/>
      <c r="BK52" s="211"/>
      <c r="BL52" s="212"/>
      <c r="BM52" s="211"/>
      <c r="BN52" s="216"/>
      <c r="BO52" s="211"/>
      <c r="BP52" s="217"/>
      <c r="BQ52" s="218"/>
      <c r="BR52" s="219">
        <v>1</v>
      </c>
      <c r="BS52" s="227">
        <v>500</v>
      </c>
      <c r="BT52" s="212"/>
      <c r="BU52" s="209"/>
      <c r="BV52" s="212"/>
      <c r="BW52" s="211"/>
      <c r="BX52" s="215"/>
      <c r="BY52" s="211"/>
      <c r="BZ52" s="212"/>
      <c r="CA52" s="211"/>
      <c r="CB52" s="212"/>
      <c r="CC52" s="211"/>
      <c r="CD52" s="208"/>
      <c r="CE52" s="211"/>
      <c r="CF52" s="212"/>
      <c r="CG52" s="211"/>
      <c r="CH52" s="212"/>
      <c r="CI52" s="211"/>
      <c r="CJ52" s="212"/>
      <c r="CK52" s="211"/>
      <c r="CL52" s="215"/>
      <c r="CM52" s="211"/>
      <c r="CN52" s="74"/>
      <c r="CO52" s="70"/>
      <c r="CP52" s="220"/>
      <c r="CQ52" s="220"/>
      <c r="CR52" s="212">
        <v>1</v>
      </c>
      <c r="CS52" s="211">
        <v>1200</v>
      </c>
      <c r="CT52" s="212"/>
      <c r="CU52" s="211"/>
      <c r="CV52" s="195"/>
      <c r="CW52" s="194"/>
      <c r="CX52" s="220"/>
      <c r="CY52" s="209"/>
      <c r="CZ52" s="208"/>
      <c r="DA52" s="211"/>
      <c r="DB52" s="221"/>
      <c r="DC52" s="222"/>
      <c r="DD52" s="221"/>
      <c r="DE52" s="222"/>
      <c r="DF52" s="206">
        <f t="shared" si="10"/>
        <v>0</v>
      </c>
      <c r="DG52" s="205">
        <f t="shared" si="11"/>
        <v>0</v>
      </c>
      <c r="DH52" s="207">
        <f t="shared" si="12"/>
        <v>6</v>
      </c>
      <c r="DI52" s="205">
        <f t="shared" si="13"/>
        <v>5950</v>
      </c>
      <c r="DJ52" s="223">
        <f>DH52+26</f>
        <v>32</v>
      </c>
      <c r="DK52" s="222">
        <f>DI52+14874</f>
        <v>20824</v>
      </c>
      <c r="DL52" s="7"/>
      <c r="DM52" s="7"/>
    </row>
    <row r="53" spans="1:117" ht="27.75" customHeight="1" x14ac:dyDescent="0.3">
      <c r="A53" s="208" t="s">
        <v>177</v>
      </c>
      <c r="B53" s="78">
        <v>1</v>
      </c>
      <c r="C53" s="209">
        <v>4000</v>
      </c>
      <c r="D53" s="210"/>
      <c r="E53" s="211"/>
      <c r="F53" s="212"/>
      <c r="G53" s="211"/>
      <c r="H53" s="212"/>
      <c r="I53" s="211"/>
      <c r="J53" s="212"/>
      <c r="K53" s="211"/>
      <c r="L53" s="212">
        <v>1</v>
      </c>
      <c r="M53" s="211">
        <v>900</v>
      </c>
      <c r="N53" s="212"/>
      <c r="O53" s="211"/>
      <c r="P53" s="212"/>
      <c r="Q53" s="211"/>
      <c r="R53" s="212"/>
      <c r="S53" s="211"/>
      <c r="T53" s="213"/>
      <c r="U53" s="211"/>
      <c r="V53" s="214"/>
      <c r="W53" s="211"/>
      <c r="X53" s="214">
        <v>1</v>
      </c>
      <c r="Y53" s="211">
        <v>4200</v>
      </c>
      <c r="Z53" s="212"/>
      <c r="AA53" s="211"/>
      <c r="AB53" s="212"/>
      <c r="AC53" s="211"/>
      <c r="AD53" s="215"/>
      <c r="AE53" s="211"/>
      <c r="AF53" s="212">
        <v>1</v>
      </c>
      <c r="AG53" s="211">
        <v>2500</v>
      </c>
      <c r="AH53" s="212"/>
      <c r="AI53" s="211"/>
      <c r="AJ53" s="212"/>
      <c r="AK53" s="211"/>
      <c r="AL53" s="212"/>
      <c r="AM53" s="211"/>
      <c r="AN53" s="212">
        <v>1</v>
      </c>
      <c r="AO53" s="211">
        <v>500</v>
      </c>
      <c r="AP53" s="212"/>
      <c r="AQ53" s="211"/>
      <c r="AR53" s="212">
        <v>1</v>
      </c>
      <c r="AS53" s="211">
        <v>2750</v>
      </c>
      <c r="AT53" s="212">
        <v>1</v>
      </c>
      <c r="AU53" s="211">
        <v>300</v>
      </c>
      <c r="AV53" s="216"/>
      <c r="AW53" s="211"/>
      <c r="AX53" s="212"/>
      <c r="AY53" s="211"/>
      <c r="AZ53" s="212"/>
      <c r="BA53" s="211"/>
      <c r="BB53" s="212"/>
      <c r="BC53" s="211"/>
      <c r="BD53" s="212"/>
      <c r="BE53" s="211"/>
      <c r="BF53" s="212"/>
      <c r="BG53" s="211"/>
      <c r="BH53" s="212"/>
      <c r="BI53" s="211"/>
      <c r="BJ53" s="212"/>
      <c r="BK53" s="211"/>
      <c r="BL53" s="212">
        <v>1</v>
      </c>
      <c r="BM53" s="211">
        <v>3000</v>
      </c>
      <c r="BN53" s="216">
        <v>1</v>
      </c>
      <c r="BO53" s="211">
        <v>480</v>
      </c>
      <c r="BP53" s="217"/>
      <c r="BQ53" s="218"/>
      <c r="BR53" s="219"/>
      <c r="BS53" s="219"/>
      <c r="BT53" s="212"/>
      <c r="BU53" s="209"/>
      <c r="BV53" s="212"/>
      <c r="BW53" s="211"/>
      <c r="BX53" s="215"/>
      <c r="BY53" s="211"/>
      <c r="BZ53" s="212"/>
      <c r="CA53" s="211"/>
      <c r="CB53" s="212">
        <v>1</v>
      </c>
      <c r="CC53" s="211">
        <v>2500</v>
      </c>
      <c r="CD53" s="208"/>
      <c r="CE53" s="211"/>
      <c r="CF53" s="212"/>
      <c r="CG53" s="211"/>
      <c r="CH53" s="212"/>
      <c r="CI53" s="211"/>
      <c r="CJ53" s="212">
        <v>1</v>
      </c>
      <c r="CK53" s="211">
        <v>230</v>
      </c>
      <c r="CL53" s="215"/>
      <c r="CM53" s="211"/>
      <c r="CN53" s="74"/>
      <c r="CO53" s="209"/>
      <c r="CP53" s="220"/>
      <c r="CQ53" s="220"/>
      <c r="CR53" s="212"/>
      <c r="CS53" s="211"/>
      <c r="CT53" s="212"/>
      <c r="CU53" s="211"/>
      <c r="CV53" s="195"/>
      <c r="CW53" s="194"/>
      <c r="CX53" s="220"/>
      <c r="CY53" s="209"/>
      <c r="CZ53" s="208"/>
      <c r="DA53" s="211"/>
      <c r="DB53" s="221">
        <v>1</v>
      </c>
      <c r="DC53" s="222">
        <v>2000</v>
      </c>
      <c r="DD53" s="221">
        <v>1</v>
      </c>
      <c r="DE53" s="222">
        <v>180</v>
      </c>
      <c r="DF53" s="206">
        <f t="shared" si="10"/>
        <v>2</v>
      </c>
      <c r="DG53" s="205">
        <f t="shared" si="11"/>
        <v>2180</v>
      </c>
      <c r="DH53" s="207">
        <f t="shared" si="12"/>
        <v>13</v>
      </c>
      <c r="DI53" s="205">
        <f t="shared" si="13"/>
        <v>23540</v>
      </c>
      <c r="DJ53" s="223">
        <f>DH53+151</f>
        <v>164</v>
      </c>
      <c r="DK53" s="222">
        <f>DI53+204384</f>
        <v>227924</v>
      </c>
      <c r="DL53" s="7"/>
      <c r="DM53" s="7"/>
    </row>
    <row r="54" spans="1:117" ht="31.2" x14ac:dyDescent="0.3">
      <c r="A54" s="208" t="s">
        <v>178</v>
      </c>
      <c r="B54" s="78"/>
      <c r="C54" s="209"/>
      <c r="D54" s="210"/>
      <c r="E54" s="211"/>
      <c r="F54" s="212"/>
      <c r="G54" s="211"/>
      <c r="H54" s="212"/>
      <c r="I54" s="211"/>
      <c r="J54" s="212"/>
      <c r="K54" s="211"/>
      <c r="L54" s="212">
        <v>1</v>
      </c>
      <c r="M54" s="211">
        <v>718</v>
      </c>
      <c r="N54" s="212"/>
      <c r="O54" s="211"/>
      <c r="P54" s="212">
        <v>1</v>
      </c>
      <c r="Q54" s="211">
        <v>900</v>
      </c>
      <c r="R54" s="212"/>
      <c r="S54" s="211"/>
      <c r="T54" s="213">
        <v>1</v>
      </c>
      <c r="U54" s="211">
        <v>400</v>
      </c>
      <c r="V54" s="214">
        <v>3</v>
      </c>
      <c r="W54" s="211">
        <v>2520</v>
      </c>
      <c r="X54" s="214"/>
      <c r="Y54" s="211"/>
      <c r="Z54" s="212">
        <v>1</v>
      </c>
      <c r="AA54" s="211">
        <v>3500</v>
      </c>
      <c r="AB54" s="212">
        <v>2</v>
      </c>
      <c r="AC54" s="211">
        <v>2000</v>
      </c>
      <c r="AD54" s="215">
        <v>2</v>
      </c>
      <c r="AE54" s="211">
        <v>480</v>
      </c>
      <c r="AF54" s="212"/>
      <c r="AG54" s="211"/>
      <c r="AH54" s="212"/>
      <c r="AI54" s="211"/>
      <c r="AJ54" s="212">
        <v>1</v>
      </c>
      <c r="AK54" s="211">
        <v>300</v>
      </c>
      <c r="AL54" s="212">
        <v>1</v>
      </c>
      <c r="AM54" s="211">
        <v>1400</v>
      </c>
      <c r="AN54" s="212"/>
      <c r="AO54" s="211"/>
      <c r="AP54" s="212"/>
      <c r="AQ54" s="211"/>
      <c r="AR54" s="212"/>
      <c r="AS54" s="211"/>
      <c r="AT54" s="212"/>
      <c r="AU54" s="211"/>
      <c r="AV54" s="216">
        <v>2</v>
      </c>
      <c r="AW54" s="211">
        <v>2600</v>
      </c>
      <c r="AX54" s="212">
        <v>1</v>
      </c>
      <c r="AY54" s="211">
        <v>300</v>
      </c>
      <c r="AZ54" s="212"/>
      <c r="BA54" s="211"/>
      <c r="BB54" s="212"/>
      <c r="BC54" s="211"/>
      <c r="BD54" s="212">
        <v>2</v>
      </c>
      <c r="BE54" s="211">
        <v>650</v>
      </c>
      <c r="BF54" s="212"/>
      <c r="BG54" s="211"/>
      <c r="BH54" s="212">
        <v>1</v>
      </c>
      <c r="BI54" s="211">
        <v>300</v>
      </c>
      <c r="BJ54" s="212"/>
      <c r="BK54" s="211"/>
      <c r="BL54" s="212">
        <v>1</v>
      </c>
      <c r="BM54" s="211">
        <v>150</v>
      </c>
      <c r="BN54" s="216">
        <v>1</v>
      </c>
      <c r="BO54" s="211">
        <v>300</v>
      </c>
      <c r="BP54" s="217">
        <v>2</v>
      </c>
      <c r="BQ54" s="218">
        <v>2500</v>
      </c>
      <c r="BR54" s="219"/>
      <c r="BS54" s="227"/>
      <c r="BT54" s="212"/>
      <c r="BU54" s="209"/>
      <c r="BV54" s="212">
        <v>3</v>
      </c>
      <c r="BW54" s="211">
        <v>3000</v>
      </c>
      <c r="BX54" s="215"/>
      <c r="BY54" s="211"/>
      <c r="BZ54" s="212"/>
      <c r="CA54" s="211"/>
      <c r="CB54" s="212"/>
      <c r="CC54" s="211"/>
      <c r="CD54" s="208"/>
      <c r="CE54" s="211"/>
      <c r="CF54" s="212"/>
      <c r="CG54" s="211"/>
      <c r="CH54" s="212"/>
      <c r="CI54" s="211"/>
      <c r="CJ54" s="212">
        <v>2</v>
      </c>
      <c r="CK54" s="211">
        <v>500</v>
      </c>
      <c r="CL54" s="215"/>
      <c r="CM54" s="211"/>
      <c r="CN54" s="220">
        <v>1</v>
      </c>
      <c r="CO54" s="209">
        <v>170</v>
      </c>
      <c r="CP54" s="220"/>
      <c r="CQ54" s="220"/>
      <c r="CR54" s="212">
        <v>1</v>
      </c>
      <c r="CS54" s="211">
        <v>1140</v>
      </c>
      <c r="CT54" s="212">
        <v>2</v>
      </c>
      <c r="CU54" s="211">
        <v>600</v>
      </c>
      <c r="CV54" s="195"/>
      <c r="CW54" s="194"/>
      <c r="CX54" s="220"/>
      <c r="CY54" s="209"/>
      <c r="CZ54" s="208"/>
      <c r="DA54" s="211"/>
      <c r="DB54" s="221">
        <v>3</v>
      </c>
      <c r="DC54" s="222">
        <v>3300</v>
      </c>
      <c r="DD54" s="221">
        <v>3</v>
      </c>
      <c r="DE54" s="222">
        <v>4900</v>
      </c>
      <c r="DF54" s="206">
        <f t="shared" si="10"/>
        <v>6</v>
      </c>
      <c r="DG54" s="205">
        <f t="shared" si="11"/>
        <v>8200</v>
      </c>
      <c r="DH54" s="207">
        <f t="shared" si="12"/>
        <v>38</v>
      </c>
      <c r="DI54" s="205">
        <f t="shared" si="13"/>
        <v>32628</v>
      </c>
      <c r="DJ54" s="223">
        <f>DH54+334</f>
        <v>372</v>
      </c>
      <c r="DK54" s="222">
        <f>DI54+309206</f>
        <v>341834</v>
      </c>
      <c r="DL54" s="7"/>
      <c r="DM54" s="7"/>
    </row>
    <row r="55" spans="1:117" x14ac:dyDescent="0.3">
      <c r="A55" s="208" t="s">
        <v>161</v>
      </c>
      <c r="B55" s="85">
        <f t="shared" ref="B55:AG55" si="14">SUM(B38:B54)</f>
        <v>4</v>
      </c>
      <c r="C55" s="81">
        <f t="shared" si="14"/>
        <v>10850</v>
      </c>
      <c r="D55" s="80">
        <f t="shared" si="14"/>
        <v>5</v>
      </c>
      <c r="E55" s="81">
        <f t="shared" si="14"/>
        <v>14920</v>
      </c>
      <c r="F55" s="82">
        <f t="shared" si="14"/>
        <v>9</v>
      </c>
      <c r="G55" s="81">
        <f t="shared" si="14"/>
        <v>23800</v>
      </c>
      <c r="H55" s="82">
        <f t="shared" si="14"/>
        <v>8</v>
      </c>
      <c r="I55" s="81">
        <f t="shared" si="14"/>
        <v>8150</v>
      </c>
      <c r="J55" s="82">
        <f t="shared" si="14"/>
        <v>9</v>
      </c>
      <c r="K55" s="81">
        <f t="shared" si="14"/>
        <v>20960</v>
      </c>
      <c r="L55" s="82">
        <f t="shared" si="14"/>
        <v>7</v>
      </c>
      <c r="M55" s="81">
        <f t="shared" si="14"/>
        <v>14478</v>
      </c>
      <c r="N55" s="82">
        <f t="shared" si="14"/>
        <v>11</v>
      </c>
      <c r="O55" s="81">
        <f t="shared" si="14"/>
        <v>32440</v>
      </c>
      <c r="P55" s="82">
        <f t="shared" si="14"/>
        <v>8</v>
      </c>
      <c r="Q55" s="81">
        <f t="shared" si="14"/>
        <v>15000</v>
      </c>
      <c r="R55" s="82">
        <f t="shared" si="14"/>
        <v>4</v>
      </c>
      <c r="S55" s="81">
        <f t="shared" si="14"/>
        <v>11391</v>
      </c>
      <c r="T55" s="83">
        <f t="shared" si="14"/>
        <v>16</v>
      </c>
      <c r="U55" s="81">
        <f t="shared" si="14"/>
        <v>36565</v>
      </c>
      <c r="V55" s="84">
        <f t="shared" si="14"/>
        <v>12</v>
      </c>
      <c r="W55" s="81">
        <f t="shared" si="14"/>
        <v>23270</v>
      </c>
      <c r="X55" s="84">
        <f t="shared" si="14"/>
        <v>12</v>
      </c>
      <c r="Y55" s="81">
        <f t="shared" si="14"/>
        <v>28186</v>
      </c>
      <c r="Z55" s="82">
        <f t="shared" si="14"/>
        <v>6</v>
      </c>
      <c r="AA55" s="81">
        <f t="shared" si="14"/>
        <v>11000</v>
      </c>
      <c r="AB55" s="82">
        <f t="shared" si="14"/>
        <v>10</v>
      </c>
      <c r="AC55" s="81">
        <f t="shared" si="14"/>
        <v>21780</v>
      </c>
      <c r="AD55" s="85">
        <f t="shared" si="14"/>
        <v>12</v>
      </c>
      <c r="AE55" s="81">
        <f t="shared" si="14"/>
        <v>11700</v>
      </c>
      <c r="AF55" s="82">
        <f t="shared" si="14"/>
        <v>16</v>
      </c>
      <c r="AG55" s="81">
        <f t="shared" si="14"/>
        <v>27790</v>
      </c>
      <c r="AH55" s="82">
        <f t="shared" ref="AH55:BM55" si="15">SUM(AH38:AH54)</f>
        <v>2</v>
      </c>
      <c r="AI55" s="81">
        <f t="shared" si="15"/>
        <v>1200</v>
      </c>
      <c r="AJ55" s="82">
        <f t="shared" si="15"/>
        <v>11</v>
      </c>
      <c r="AK55" s="81">
        <f t="shared" si="15"/>
        <v>18040</v>
      </c>
      <c r="AL55" s="82">
        <f t="shared" si="15"/>
        <v>7</v>
      </c>
      <c r="AM55" s="81">
        <f t="shared" si="15"/>
        <v>9450</v>
      </c>
      <c r="AN55" s="82">
        <f t="shared" si="15"/>
        <v>8</v>
      </c>
      <c r="AO55" s="81">
        <f t="shared" si="15"/>
        <v>11600</v>
      </c>
      <c r="AP55" s="82">
        <f t="shared" si="15"/>
        <v>6</v>
      </c>
      <c r="AQ55" s="81">
        <f t="shared" si="15"/>
        <v>9720</v>
      </c>
      <c r="AR55" s="82">
        <f t="shared" si="15"/>
        <v>10</v>
      </c>
      <c r="AS55" s="81">
        <f t="shared" si="15"/>
        <v>18650</v>
      </c>
      <c r="AT55" s="82">
        <f t="shared" si="15"/>
        <v>7</v>
      </c>
      <c r="AU55" s="81">
        <f t="shared" si="15"/>
        <v>14840</v>
      </c>
      <c r="AV55" s="86">
        <f t="shared" si="15"/>
        <v>10</v>
      </c>
      <c r="AW55" s="81">
        <f t="shared" si="15"/>
        <v>15328</v>
      </c>
      <c r="AX55" s="82">
        <f t="shared" si="15"/>
        <v>9</v>
      </c>
      <c r="AY55" s="81">
        <f t="shared" si="15"/>
        <v>11550</v>
      </c>
      <c r="AZ55" s="82">
        <f t="shared" si="15"/>
        <v>1</v>
      </c>
      <c r="BA55" s="81">
        <f t="shared" si="15"/>
        <v>350</v>
      </c>
      <c r="BB55" s="82">
        <f t="shared" si="15"/>
        <v>10</v>
      </c>
      <c r="BC55" s="81">
        <f t="shared" si="15"/>
        <v>12100</v>
      </c>
      <c r="BD55" s="82">
        <f t="shared" si="15"/>
        <v>7</v>
      </c>
      <c r="BE55" s="81">
        <f t="shared" si="15"/>
        <v>7250</v>
      </c>
      <c r="BF55" s="82">
        <f t="shared" si="15"/>
        <v>7</v>
      </c>
      <c r="BG55" s="81">
        <f t="shared" si="15"/>
        <v>10150</v>
      </c>
      <c r="BH55" s="82">
        <f t="shared" si="15"/>
        <v>6</v>
      </c>
      <c r="BI55" s="81">
        <f t="shared" si="15"/>
        <v>11800</v>
      </c>
      <c r="BJ55" s="82">
        <f t="shared" si="15"/>
        <v>7</v>
      </c>
      <c r="BK55" s="81">
        <f t="shared" si="15"/>
        <v>7700</v>
      </c>
      <c r="BL55" s="82">
        <f t="shared" si="15"/>
        <v>10</v>
      </c>
      <c r="BM55" s="81">
        <f t="shared" si="15"/>
        <v>20650</v>
      </c>
      <c r="BN55" s="86">
        <f t="shared" ref="BN55:CS55" si="16">SUM(BN38:BN54)</f>
        <v>14</v>
      </c>
      <c r="BO55" s="81">
        <f t="shared" si="16"/>
        <v>19240</v>
      </c>
      <c r="BP55" s="177">
        <f t="shared" si="16"/>
        <v>11</v>
      </c>
      <c r="BQ55" s="184">
        <f t="shared" si="16"/>
        <v>16850</v>
      </c>
      <c r="BR55" s="87">
        <f t="shared" si="16"/>
        <v>11</v>
      </c>
      <c r="BS55" s="88">
        <f t="shared" si="16"/>
        <v>14330</v>
      </c>
      <c r="BT55" s="82">
        <f t="shared" si="16"/>
        <v>0</v>
      </c>
      <c r="BU55" s="70">
        <f t="shared" si="16"/>
        <v>0</v>
      </c>
      <c r="BV55" s="82">
        <f t="shared" si="16"/>
        <v>9</v>
      </c>
      <c r="BW55" s="81">
        <f t="shared" si="16"/>
        <v>13100</v>
      </c>
      <c r="BX55" s="85">
        <f t="shared" si="16"/>
        <v>10</v>
      </c>
      <c r="BY55" s="81">
        <f t="shared" si="16"/>
        <v>21860</v>
      </c>
      <c r="BZ55" s="82">
        <f t="shared" si="16"/>
        <v>5</v>
      </c>
      <c r="CA55" s="81">
        <f t="shared" si="16"/>
        <v>8467</v>
      </c>
      <c r="CB55" s="82">
        <f t="shared" si="16"/>
        <v>5</v>
      </c>
      <c r="CC55" s="81">
        <f t="shared" si="16"/>
        <v>7210</v>
      </c>
      <c r="CD55" s="79">
        <f t="shared" si="16"/>
        <v>12</v>
      </c>
      <c r="CE55" s="81">
        <f t="shared" si="16"/>
        <v>19100</v>
      </c>
      <c r="CF55" s="82">
        <f t="shared" si="16"/>
        <v>6</v>
      </c>
      <c r="CG55" s="81">
        <f>SUM(CG38:CG54)</f>
        <v>10749</v>
      </c>
      <c r="CH55" s="82">
        <f t="shared" si="16"/>
        <v>8</v>
      </c>
      <c r="CI55" s="81">
        <f t="shared" si="16"/>
        <v>11070</v>
      </c>
      <c r="CJ55" s="82">
        <f t="shared" si="16"/>
        <v>7</v>
      </c>
      <c r="CK55" s="81">
        <f t="shared" si="16"/>
        <v>11230</v>
      </c>
      <c r="CL55" s="85">
        <f t="shared" si="16"/>
        <v>8</v>
      </c>
      <c r="CM55" s="81">
        <f t="shared" si="16"/>
        <v>9450</v>
      </c>
      <c r="CN55" s="85">
        <f t="shared" si="16"/>
        <v>12</v>
      </c>
      <c r="CO55" s="81">
        <f t="shared" si="16"/>
        <v>15770</v>
      </c>
      <c r="CP55" s="85">
        <f t="shared" si="16"/>
        <v>12</v>
      </c>
      <c r="CQ55" s="81">
        <f t="shared" si="16"/>
        <v>24580</v>
      </c>
      <c r="CR55" s="82">
        <f t="shared" si="16"/>
        <v>8</v>
      </c>
      <c r="CS55" s="81">
        <f t="shared" si="16"/>
        <v>15740</v>
      </c>
      <c r="CT55" s="82">
        <f t="shared" ref="CT55:DA55" si="17">SUM(CT38:CT54)</f>
        <v>9</v>
      </c>
      <c r="CU55" s="81">
        <f t="shared" si="17"/>
        <v>17170</v>
      </c>
      <c r="CV55" s="81">
        <f t="shared" si="17"/>
        <v>0</v>
      </c>
      <c r="CW55" s="81">
        <f t="shared" si="17"/>
        <v>0</v>
      </c>
      <c r="CX55" s="82">
        <f t="shared" si="17"/>
        <v>11</v>
      </c>
      <c r="CY55" s="81">
        <f t="shared" si="17"/>
        <v>15500</v>
      </c>
      <c r="CZ55" s="79">
        <f t="shared" si="17"/>
        <v>13</v>
      </c>
      <c r="DA55" s="81">
        <f t="shared" si="17"/>
        <v>24260</v>
      </c>
      <c r="DB55" s="79">
        <f>SUM(DB38:DB54)</f>
        <v>17</v>
      </c>
      <c r="DC55" s="79">
        <f>SUM(DC38:DC54)</f>
        <v>28620</v>
      </c>
      <c r="DD55" s="79">
        <f>SUM(DD38:DD54)</f>
        <v>23</v>
      </c>
      <c r="DE55" s="81">
        <f>SUM(DE38:DE54)</f>
        <v>39212</v>
      </c>
      <c r="DF55" s="81">
        <f t="shared" ref="DF55:DG55" si="18">SUM(DF38:DF54)</f>
        <v>64</v>
      </c>
      <c r="DG55" s="81">
        <f t="shared" si="18"/>
        <v>107592</v>
      </c>
      <c r="DH55" s="75">
        <f t="shared" si="12"/>
        <v>478</v>
      </c>
      <c r="DI55" s="76">
        <f t="shared" si="13"/>
        <v>836166</v>
      </c>
      <c r="DJ55" s="85">
        <f>SUM(DJ38:DJ54)</f>
        <v>5356</v>
      </c>
      <c r="DK55" s="81">
        <f>SUM(DK38:DK54)</f>
        <v>8085123.1899999995</v>
      </c>
      <c r="DL55" s="7"/>
      <c r="DM55" s="7"/>
    </row>
    <row r="56" spans="1:117" x14ac:dyDescent="0.3">
      <c r="A56" s="228"/>
      <c r="B56" s="229"/>
      <c r="C56" s="230"/>
      <c r="D56" s="231"/>
      <c r="E56" s="230"/>
      <c r="F56" s="232"/>
      <c r="G56" s="233"/>
      <c r="H56" s="234"/>
      <c r="I56" s="230"/>
      <c r="J56" s="234"/>
      <c r="K56" s="230"/>
      <c r="L56" s="234"/>
      <c r="M56" s="230"/>
      <c r="N56" s="234"/>
      <c r="O56" s="230"/>
      <c r="P56" s="234"/>
      <c r="Q56" s="230"/>
      <c r="R56" s="234"/>
      <c r="S56" s="230"/>
      <c r="T56" s="235"/>
      <c r="U56" s="230"/>
      <c r="V56" s="236"/>
      <c r="W56" s="230"/>
      <c r="X56" s="236"/>
      <c r="Y56" s="230"/>
      <c r="Z56" s="234"/>
      <c r="AA56" s="230"/>
      <c r="AB56" s="234"/>
      <c r="AC56" s="230"/>
      <c r="AD56" s="229"/>
      <c r="AE56" s="230"/>
      <c r="AF56" s="234"/>
      <c r="AG56" s="230"/>
      <c r="AH56" s="234"/>
      <c r="AI56" s="230"/>
      <c r="AJ56" s="234"/>
      <c r="AK56" s="230"/>
      <c r="AL56" s="234"/>
      <c r="AM56" s="230"/>
      <c r="AN56" s="234"/>
      <c r="AO56" s="230"/>
      <c r="AP56" s="234"/>
      <c r="AQ56" s="230"/>
      <c r="AR56" s="234"/>
      <c r="AS56" s="230"/>
      <c r="AT56" s="234"/>
      <c r="AU56" s="230"/>
      <c r="AV56" s="235"/>
      <c r="AW56" s="230"/>
      <c r="AX56" s="234"/>
      <c r="AY56" s="230"/>
      <c r="AZ56" s="234"/>
      <c r="BA56" s="230"/>
      <c r="BB56" s="234"/>
      <c r="BC56" s="230"/>
      <c r="BD56" s="234"/>
      <c r="BE56" s="230"/>
      <c r="BF56" s="234"/>
      <c r="BG56" s="230"/>
      <c r="BH56" s="234"/>
      <c r="BI56" s="230"/>
      <c r="BJ56" s="234"/>
      <c r="BK56" s="230"/>
      <c r="BL56" s="234"/>
      <c r="BM56" s="230"/>
      <c r="BN56" s="235"/>
      <c r="BO56" s="230"/>
      <c r="BP56" s="237"/>
      <c r="BQ56" s="238"/>
      <c r="BR56" s="239"/>
      <c r="BS56" s="230"/>
      <c r="BT56" s="234"/>
      <c r="BU56" s="240"/>
      <c r="BV56" s="234"/>
      <c r="BW56" s="230"/>
      <c r="BX56" s="229"/>
      <c r="BY56" s="230"/>
      <c r="BZ56" s="234"/>
      <c r="CA56" s="230"/>
      <c r="CB56" s="234"/>
      <c r="CC56" s="230"/>
      <c r="CD56" s="239"/>
      <c r="CE56" s="230"/>
      <c r="CF56" s="234"/>
      <c r="CG56" s="230"/>
      <c r="CH56" s="234"/>
      <c r="CI56" s="230"/>
      <c r="CJ56" s="234"/>
      <c r="CK56" s="230"/>
      <c r="CL56" s="229"/>
      <c r="CM56" s="230"/>
      <c r="CN56" s="230"/>
      <c r="CO56" s="230"/>
      <c r="CP56" s="229"/>
      <c r="CQ56" s="230"/>
      <c r="CR56" s="234"/>
      <c r="CS56" s="230"/>
      <c r="CT56" s="234"/>
      <c r="CU56" s="230"/>
      <c r="CV56" s="234"/>
      <c r="CW56" s="230"/>
      <c r="CX56" s="234"/>
      <c r="CY56" s="230"/>
      <c r="CZ56" s="239"/>
      <c r="DA56" s="230"/>
      <c r="DB56" s="239"/>
      <c r="DC56" s="239"/>
      <c r="DD56" s="239"/>
      <c r="DE56" s="239"/>
      <c r="DF56" s="239"/>
      <c r="DG56" s="239"/>
      <c r="DH56" s="241"/>
      <c r="DI56" s="242"/>
      <c r="DJ56" s="229"/>
      <c r="DK56" s="230"/>
      <c r="DL56" s="7"/>
      <c r="DM56" s="7"/>
    </row>
    <row r="57" spans="1:117" ht="59.25" hidden="1" customHeight="1" x14ac:dyDescent="0.3">
      <c r="A57" s="370" t="s">
        <v>179</v>
      </c>
      <c r="B57" s="355" t="str">
        <f>B19</f>
        <v>За отчетный период с 01.01.2024 по 18.01.2024</v>
      </c>
      <c r="C57" s="362"/>
      <c r="D57" s="355" t="str">
        <f>D19</f>
        <v>За отчетный период с 19.01.2024 по 25.01.2024</v>
      </c>
      <c r="E57" s="362"/>
      <c r="F57" s="355" t="str">
        <f>F19</f>
        <v>За отчетный период с 26.01.2024 по 31.01.2024</v>
      </c>
      <c r="G57" s="362"/>
      <c r="H57" s="355" t="str">
        <f>H19</f>
        <v>За отчетный период с 01.02.2024 по 08.02.2024</v>
      </c>
      <c r="I57" s="362"/>
      <c r="J57" s="355" t="str">
        <f>J19</f>
        <v>За отчетный период с 09.02.2024 по 15.02.2024</v>
      </c>
      <c r="K57" s="362"/>
      <c r="L57" s="355" t="str">
        <f>L19</f>
        <v>За отчетный период с 16.02.2024 по 21.02.2024</v>
      </c>
      <c r="M57" s="362"/>
      <c r="N57" s="355" t="str">
        <f>N19</f>
        <v>За отчетный период с 22.02.2024 по 29.02.2024</v>
      </c>
      <c r="O57" s="362"/>
      <c r="P57" s="355" t="str">
        <f>P19</f>
        <v>За отчетный период с 01.03.2024 по 06.03.2024</v>
      </c>
      <c r="Q57" s="362"/>
      <c r="R57" s="355" t="str">
        <f>R19</f>
        <v>За отчетный период с 07.03.2024 по 14.03.2024</v>
      </c>
      <c r="S57" s="362"/>
      <c r="T57" s="355" t="str">
        <f>T19</f>
        <v>За отчетный период с 15.03.2024 по 21.03.2024</v>
      </c>
      <c r="U57" s="362"/>
      <c r="V57" s="355" t="str">
        <f>V19</f>
        <v>За отчетный период с 22.03.2024 по 28.03.2024</v>
      </c>
      <c r="W57" s="362"/>
      <c r="X57" s="355" t="str">
        <f>X19</f>
        <v>За отчетный период с 29.03.2024 по 04.04.2024</v>
      </c>
      <c r="Y57" s="362"/>
      <c r="Z57" s="355" t="str">
        <f>Z19</f>
        <v>За отчетный период с 05.04.2024 по 11.04.2024</v>
      </c>
      <c r="AA57" s="362"/>
      <c r="AB57" s="355" t="str">
        <f>AB19</f>
        <v>За отчетный период с 12.04.2024 по 18.04.2024</v>
      </c>
      <c r="AC57" s="362"/>
      <c r="AD57" s="355" t="str">
        <f>AD19</f>
        <v>За отчетный период с 19.04.2024 по 25.04.2024</v>
      </c>
      <c r="AE57" s="362"/>
      <c r="AF57" s="355" t="str">
        <f>AF19</f>
        <v>За отчетный период с 26.04.2024 по 02.05.2024</v>
      </c>
      <c r="AG57" s="362"/>
      <c r="AH57" s="355" t="str">
        <f>AH19</f>
        <v>За отчетный период с 03.05.2024 по 07.05.2024</v>
      </c>
      <c r="AI57" s="362"/>
      <c r="AJ57" s="355" t="str">
        <f>AJ19</f>
        <v>За отчетный период с 08.05.2024 по 16.05.2024</v>
      </c>
      <c r="AK57" s="362"/>
      <c r="AL57" s="355" t="str">
        <f>AL19</f>
        <v>За отчетный период с 17.05.2024 по 23.05.2024</v>
      </c>
      <c r="AM57" s="362"/>
      <c r="AN57" s="355" t="str">
        <f>AN19</f>
        <v>За отчетный период с 24.05.2024 по 30.05.2024</v>
      </c>
      <c r="AO57" s="362"/>
      <c r="AP57" s="355" t="str">
        <f>AP19</f>
        <v>За отчетный период с 31.05.2024 по 06.06.2024</v>
      </c>
      <c r="AQ57" s="362"/>
      <c r="AR57" s="355" t="str">
        <f>AR19</f>
        <v>За отчетный период с 07.06.2024 по 13.06.2024</v>
      </c>
      <c r="AS57" s="362"/>
      <c r="AT57" s="355" t="str">
        <f>AT19</f>
        <v>За отчетный период с 14.06.2024 по 20.06.2024</v>
      </c>
      <c r="AU57" s="362"/>
      <c r="AV57" s="355" t="str">
        <f>AV19</f>
        <v>За отчетный период с 21.06.2024 по 27.06.2024</v>
      </c>
      <c r="AW57" s="362"/>
      <c r="AX57" s="355" t="str">
        <f>AX19</f>
        <v>За отчетный период с 28.06.2024 по 30.06.2024</v>
      </c>
      <c r="AY57" s="362"/>
      <c r="AZ57" s="355" t="str">
        <f>AZ19</f>
        <v>За отчетный период с 01.07.2024 по 04.07.2024</v>
      </c>
      <c r="BA57" s="362"/>
      <c r="BB57" s="348" t="str">
        <f>BB19</f>
        <v>За отчетный период с 05.07.2024 по 11.07.2024</v>
      </c>
      <c r="BC57" s="349"/>
      <c r="BD57" s="348" t="s">
        <v>180</v>
      </c>
      <c r="BE57" s="349"/>
      <c r="BF57" s="355" t="str">
        <f>BF19</f>
        <v>За отчетный период с 19.07.2024 по 25.07.2024</v>
      </c>
      <c r="BG57" s="362"/>
      <c r="BH57" s="355" t="str">
        <f>BH19</f>
        <v>За отчетный период с 26.07.2024 по 31.07.2024</v>
      </c>
      <c r="BI57" s="362"/>
      <c r="BJ57" s="355" t="str">
        <f>BJ19</f>
        <v>За отчетный период с 01.08.2024 по 08.08.2024</v>
      </c>
      <c r="BK57" s="362"/>
      <c r="BL57" s="355" t="str">
        <f>BL19</f>
        <v>За отчетный период с 09.08.2024 по 15.08.2024</v>
      </c>
      <c r="BM57" s="362"/>
      <c r="BN57" s="355" t="str">
        <f>BN19</f>
        <v>За отчетный период с 16.08.2024 по 22.08.2024</v>
      </c>
      <c r="BO57" s="362"/>
      <c r="BP57" s="355" t="str">
        <f>BP19</f>
        <v>За отчетный период с 23.08.2024 по 29.08.2024</v>
      </c>
      <c r="BQ57" s="362"/>
      <c r="BR57" s="355" t="str">
        <f>BR19</f>
        <v>За отчетный период с 29.08.2024 по 30.08.2024</v>
      </c>
      <c r="BS57" s="362"/>
      <c r="BT57" s="355" t="str">
        <f>BT19</f>
        <v>За отчетный период с 31.08.2024 по 05.09.2024</v>
      </c>
      <c r="BU57" s="362"/>
      <c r="BV57" s="355" t="str">
        <f>BV19</f>
        <v>За отчетный период с 06.09.2024 по 12.09.2024</v>
      </c>
      <c r="BW57" s="362"/>
      <c r="BX57" s="355" t="str">
        <f>BX19</f>
        <v>За отчетный период с 13.09.2024 по 19.09.2024</v>
      </c>
      <c r="BY57" s="362"/>
      <c r="BZ57" s="355" t="str">
        <f>BZ19</f>
        <v>За отчетный период с 20.09.2024 по 26.09.2024</v>
      </c>
      <c r="CA57" s="362"/>
      <c r="CB57" s="355" t="str">
        <f>CB19</f>
        <v>За отчетный период с 27.09.2024 по 03.10.2024</v>
      </c>
      <c r="CC57" s="362"/>
      <c r="CD57" s="355" t="str">
        <f>CD19</f>
        <v>За отчетный период с 04.10.2024 по 10.10.2024</v>
      </c>
      <c r="CE57" s="362"/>
      <c r="CF57" s="355" t="str">
        <f>CF19</f>
        <v>За отчетный период с 11.10.2024 по 17.10.2024</v>
      </c>
      <c r="CG57" s="362"/>
      <c r="CH57" s="355" t="str">
        <f>CH19</f>
        <v>За отчетный период с 18.10.2024 по 24.10.2024</v>
      </c>
      <c r="CI57" s="362"/>
      <c r="CJ57" s="355" t="str">
        <f>CJ19</f>
        <v>За отчетный период с 25.10.2024 по 31.10.2024</v>
      </c>
      <c r="CK57" s="362"/>
      <c r="CL57" s="355" t="str">
        <f>CL19</f>
        <v>За отчетный период с 01.11.2024 по 07.11.2024</v>
      </c>
      <c r="CM57" s="362"/>
      <c r="CN57" s="355" t="str">
        <f>CN19</f>
        <v>За отчетный период с 08.11.2024 по 14.11.2024</v>
      </c>
      <c r="CO57" s="362"/>
      <c r="CP57" s="355" t="str">
        <f>CP19</f>
        <v>За отчетный период с 15.11.2024 по 21.11.2024</v>
      </c>
      <c r="CQ57" s="362"/>
      <c r="CR57" s="355" t="str">
        <f>CR19</f>
        <v>За отчетный период с 22.11.2024 по 28.11.2024</v>
      </c>
      <c r="CS57" s="362"/>
      <c r="CT57" s="355" t="str">
        <f>CT19</f>
        <v>За отчетный период с 29.11.2024 по 30.11.2024</v>
      </c>
      <c r="CU57" s="362"/>
      <c r="CV57" s="355" t="str">
        <f>CV19</f>
        <v>За отчетный период с 01.12.2024 по 05.12.2024</v>
      </c>
      <c r="CW57" s="362"/>
      <c r="CX57" s="363" t="str">
        <f>CX19</f>
        <v>За отчетный период с 06.12.2024 по 12.12.2024</v>
      </c>
      <c r="CY57" s="364"/>
      <c r="CZ57" s="363" t="str">
        <f>CZ19</f>
        <v>За отчетный период с 13.12.2024 по 19.12.2024</v>
      </c>
      <c r="DA57" s="364"/>
      <c r="DB57" s="348"/>
      <c r="DC57" s="349"/>
      <c r="DD57" s="348"/>
      <c r="DE57" s="349"/>
      <c r="DF57" s="55"/>
      <c r="DG57" s="55"/>
      <c r="DH57" s="365" t="s">
        <v>181</v>
      </c>
      <c r="DI57" s="366"/>
      <c r="DJ57" s="365" t="s">
        <v>182</v>
      </c>
      <c r="DK57" s="366"/>
      <c r="DL57" s="7"/>
      <c r="DM57" s="7"/>
    </row>
    <row r="58" spans="1:117" ht="17.25" hidden="1" customHeight="1" x14ac:dyDescent="0.3">
      <c r="A58" s="371"/>
      <c r="B58" s="243" t="s">
        <v>16</v>
      </c>
      <c r="C58" s="64" t="s">
        <v>17</v>
      </c>
      <c r="D58" s="243" t="s">
        <v>16</v>
      </c>
      <c r="E58" s="64" t="s">
        <v>17</v>
      </c>
      <c r="F58" s="243" t="s">
        <v>16</v>
      </c>
      <c r="G58" s="64" t="s">
        <v>17</v>
      </c>
      <c r="H58" s="243" t="s">
        <v>16</v>
      </c>
      <c r="I58" s="64" t="s">
        <v>17</v>
      </c>
      <c r="J58" s="243" t="s">
        <v>16</v>
      </c>
      <c r="K58" s="64" t="s">
        <v>17</v>
      </c>
      <c r="L58" s="243" t="s">
        <v>16</v>
      </c>
      <c r="M58" s="64" t="s">
        <v>17</v>
      </c>
      <c r="N58" s="243" t="s">
        <v>16</v>
      </c>
      <c r="O58" s="64" t="s">
        <v>17</v>
      </c>
      <c r="P58" s="243" t="s">
        <v>16</v>
      </c>
      <c r="Q58" s="64" t="s">
        <v>17</v>
      </c>
      <c r="R58" s="243" t="s">
        <v>16</v>
      </c>
      <c r="S58" s="64" t="s">
        <v>17</v>
      </c>
      <c r="T58" s="243" t="s">
        <v>16</v>
      </c>
      <c r="U58" s="64" t="s">
        <v>17</v>
      </c>
      <c r="V58" s="243" t="s">
        <v>16</v>
      </c>
      <c r="W58" s="64" t="s">
        <v>17</v>
      </c>
      <c r="X58" s="243" t="s">
        <v>16</v>
      </c>
      <c r="Y58" s="64" t="s">
        <v>17</v>
      </c>
      <c r="Z58" s="243" t="s">
        <v>16</v>
      </c>
      <c r="AA58" s="64" t="s">
        <v>17</v>
      </c>
      <c r="AB58" s="243" t="s">
        <v>16</v>
      </c>
      <c r="AC58" s="64" t="s">
        <v>17</v>
      </c>
      <c r="AD58" s="243" t="s">
        <v>16</v>
      </c>
      <c r="AE58" s="64" t="s">
        <v>17</v>
      </c>
      <c r="AF58" s="243" t="s">
        <v>16</v>
      </c>
      <c r="AG58" s="64" t="s">
        <v>17</v>
      </c>
      <c r="AH58" s="243" t="s">
        <v>16</v>
      </c>
      <c r="AI58" s="64" t="s">
        <v>17</v>
      </c>
      <c r="AJ58" s="243" t="s">
        <v>16</v>
      </c>
      <c r="AK58" s="64" t="s">
        <v>17</v>
      </c>
      <c r="AL58" s="243" t="s">
        <v>16</v>
      </c>
      <c r="AM58" s="64" t="s">
        <v>17</v>
      </c>
      <c r="AN58" s="243" t="s">
        <v>16</v>
      </c>
      <c r="AO58" s="64" t="s">
        <v>17</v>
      </c>
      <c r="AP58" s="244" t="s">
        <v>16</v>
      </c>
      <c r="AQ58" s="75" t="s">
        <v>17</v>
      </c>
      <c r="AR58" s="243" t="s">
        <v>16</v>
      </c>
      <c r="AS58" s="64" t="s">
        <v>17</v>
      </c>
      <c r="AT58" s="243" t="s">
        <v>16</v>
      </c>
      <c r="AU58" s="64" t="s">
        <v>17</v>
      </c>
      <c r="AV58" s="243" t="s">
        <v>16</v>
      </c>
      <c r="AW58" s="64" t="s">
        <v>17</v>
      </c>
      <c r="AX58" s="243" t="s">
        <v>16</v>
      </c>
      <c r="AY58" s="64" t="s">
        <v>17</v>
      </c>
      <c r="AZ58" s="243" t="s">
        <v>16</v>
      </c>
      <c r="BA58" s="64" t="s">
        <v>17</v>
      </c>
      <c r="BB58" s="243" t="s">
        <v>16</v>
      </c>
      <c r="BC58" s="64" t="s">
        <v>17</v>
      </c>
      <c r="BD58" s="243" t="s">
        <v>16</v>
      </c>
      <c r="BE58" s="64" t="s">
        <v>17</v>
      </c>
      <c r="BF58" s="243" t="s">
        <v>16</v>
      </c>
      <c r="BG58" s="64" t="s">
        <v>17</v>
      </c>
      <c r="BH58" s="243" t="s">
        <v>16</v>
      </c>
      <c r="BI58" s="64" t="s">
        <v>17</v>
      </c>
      <c r="BJ58" s="243" t="s">
        <v>16</v>
      </c>
      <c r="BK58" s="64" t="s">
        <v>17</v>
      </c>
      <c r="BL58" s="243" t="s">
        <v>16</v>
      </c>
      <c r="BM58" s="64" t="s">
        <v>17</v>
      </c>
      <c r="BN58" s="243" t="s">
        <v>16</v>
      </c>
      <c r="BO58" s="64" t="s">
        <v>17</v>
      </c>
      <c r="BP58" s="243" t="s">
        <v>16</v>
      </c>
      <c r="BQ58" s="64" t="s">
        <v>17</v>
      </c>
      <c r="BR58" s="243" t="s">
        <v>16</v>
      </c>
      <c r="BS58" s="64" t="s">
        <v>17</v>
      </c>
      <c r="BT58" s="243" t="s">
        <v>16</v>
      </c>
      <c r="BU58" s="64" t="s">
        <v>17</v>
      </c>
      <c r="BV58" s="243" t="s">
        <v>16</v>
      </c>
      <c r="BW58" s="64" t="s">
        <v>17</v>
      </c>
      <c r="BX58" s="243" t="s">
        <v>16</v>
      </c>
      <c r="BY58" s="64" t="s">
        <v>17</v>
      </c>
      <c r="BZ58" s="243" t="s">
        <v>16</v>
      </c>
      <c r="CA58" s="64" t="s">
        <v>17</v>
      </c>
      <c r="CB58" s="243" t="s">
        <v>16</v>
      </c>
      <c r="CC58" s="64" t="s">
        <v>17</v>
      </c>
      <c r="CD58" s="243" t="s">
        <v>16</v>
      </c>
      <c r="CE58" s="64" t="s">
        <v>17</v>
      </c>
      <c r="CF58" s="243" t="s">
        <v>16</v>
      </c>
      <c r="CG58" s="64" t="s">
        <v>17</v>
      </c>
      <c r="CH58" s="243" t="s">
        <v>16</v>
      </c>
      <c r="CI58" s="64" t="s">
        <v>17</v>
      </c>
      <c r="CJ58" s="243" t="s">
        <v>16</v>
      </c>
      <c r="CK58" s="64" t="s">
        <v>17</v>
      </c>
      <c r="CL58" s="243" t="s">
        <v>16</v>
      </c>
      <c r="CM58" s="64" t="s">
        <v>17</v>
      </c>
      <c r="CN58" s="243" t="s">
        <v>16</v>
      </c>
      <c r="CO58" s="64" t="s">
        <v>17</v>
      </c>
      <c r="CP58" s="243" t="s">
        <v>16</v>
      </c>
      <c r="CQ58" s="64" t="s">
        <v>17</v>
      </c>
      <c r="CR58" s="243" t="s">
        <v>16</v>
      </c>
      <c r="CS58" s="64" t="s">
        <v>17</v>
      </c>
      <c r="CT58" s="243" t="s">
        <v>16</v>
      </c>
      <c r="CU58" s="64" t="s">
        <v>17</v>
      </c>
      <c r="CV58" s="243" t="s">
        <v>16</v>
      </c>
      <c r="CW58" s="64" t="s">
        <v>17</v>
      </c>
      <c r="CX58" s="243" t="s">
        <v>16</v>
      </c>
      <c r="CY58" s="64" t="s">
        <v>17</v>
      </c>
      <c r="CZ58" s="243" t="s">
        <v>16</v>
      </c>
      <c r="DA58" s="64" t="s">
        <v>17</v>
      </c>
      <c r="DB58" s="243" t="s">
        <v>16</v>
      </c>
      <c r="DC58" s="64" t="s">
        <v>17</v>
      </c>
      <c r="DD58" s="243" t="s">
        <v>16</v>
      </c>
      <c r="DE58" s="64" t="s">
        <v>17</v>
      </c>
      <c r="DF58" s="64"/>
      <c r="DG58" s="64"/>
      <c r="DH58" s="243" t="s">
        <v>16</v>
      </c>
      <c r="DI58" s="64" t="s">
        <v>17</v>
      </c>
      <c r="DJ58" s="243" t="s">
        <v>16</v>
      </c>
      <c r="DK58" s="64" t="s">
        <v>17</v>
      </c>
      <c r="DL58" s="7"/>
      <c r="DM58" s="7"/>
    </row>
    <row r="59" spans="1:117" hidden="1" x14ac:dyDescent="0.3">
      <c r="A59" s="245" t="s">
        <v>183</v>
      </c>
      <c r="B59" s="85"/>
      <c r="C59" s="81"/>
      <c r="D59" s="210">
        <v>2</v>
      </c>
      <c r="E59" s="211">
        <v>2950</v>
      </c>
      <c r="F59" s="210">
        <v>2</v>
      </c>
      <c r="G59" s="211">
        <v>2921</v>
      </c>
      <c r="H59" s="246">
        <v>2</v>
      </c>
      <c r="I59" s="218">
        <v>1186.5</v>
      </c>
      <c r="J59" s="246"/>
      <c r="K59" s="218"/>
      <c r="L59" s="246"/>
      <c r="M59" s="218"/>
      <c r="N59" s="246"/>
      <c r="O59" s="218"/>
      <c r="P59" s="246"/>
      <c r="Q59" s="218"/>
      <c r="R59" s="246"/>
      <c r="S59" s="218"/>
      <c r="T59" s="246"/>
      <c r="U59" s="218"/>
      <c r="V59" s="246"/>
      <c r="W59" s="218"/>
      <c r="X59" s="246"/>
      <c r="Y59" s="218"/>
      <c r="Z59" s="246"/>
      <c r="AA59" s="218"/>
      <c r="AB59" s="246"/>
      <c r="AC59" s="218"/>
      <c r="AD59" s="246"/>
      <c r="AE59" s="218"/>
      <c r="AF59" s="246"/>
      <c r="AG59" s="218"/>
      <c r="AH59" s="246"/>
      <c r="AI59" s="218"/>
      <c r="AJ59" s="246"/>
      <c r="AK59" s="218"/>
      <c r="AL59" s="246"/>
      <c r="AM59" s="218"/>
      <c r="AN59" s="246"/>
      <c r="AO59" s="218"/>
      <c r="AP59" s="246"/>
      <c r="AQ59" s="218"/>
      <c r="AR59" s="246"/>
      <c r="AS59" s="218"/>
      <c r="AT59" s="246"/>
      <c r="AU59" s="218"/>
      <c r="AV59" s="246"/>
      <c r="AW59" s="218"/>
      <c r="AX59" s="246"/>
      <c r="AY59" s="218"/>
      <c r="AZ59" s="246"/>
      <c r="BA59" s="218"/>
      <c r="BB59" s="246"/>
      <c r="BC59" s="218"/>
      <c r="BD59" s="246"/>
      <c r="BE59" s="218"/>
      <c r="BF59" s="246"/>
      <c r="BG59" s="218"/>
      <c r="BH59" s="246"/>
      <c r="BI59" s="218"/>
      <c r="BJ59" s="246"/>
      <c r="BK59" s="218"/>
      <c r="BL59" s="246"/>
      <c r="BM59" s="218"/>
      <c r="BN59" s="246"/>
      <c r="BO59" s="218"/>
      <c r="BP59" s="246"/>
      <c r="BQ59" s="218"/>
      <c r="BR59" s="246"/>
      <c r="BS59" s="218"/>
      <c r="BT59" s="246"/>
      <c r="BU59" s="218"/>
      <c r="BV59" s="246"/>
      <c r="BW59" s="218"/>
      <c r="BX59" s="246"/>
      <c r="BY59" s="218"/>
      <c r="BZ59" s="246"/>
      <c r="CA59" s="218"/>
      <c r="CB59" s="246"/>
      <c r="CC59" s="218"/>
      <c r="CD59" s="246"/>
      <c r="CE59" s="218"/>
      <c r="CF59" s="246"/>
      <c r="CG59" s="218"/>
      <c r="CH59" s="246"/>
      <c r="CI59" s="218"/>
      <c r="CJ59" s="247"/>
      <c r="CK59" s="218"/>
      <c r="CL59" s="248"/>
      <c r="CM59" s="218"/>
      <c r="CN59" s="223"/>
      <c r="CO59" s="222"/>
      <c r="CP59" s="223"/>
      <c r="CQ59" s="223"/>
      <c r="CR59" s="247"/>
      <c r="CS59" s="218"/>
      <c r="CT59" s="247"/>
      <c r="CU59" s="218"/>
      <c r="CV59" s="247"/>
      <c r="CW59" s="218"/>
      <c r="CX59" s="247"/>
      <c r="CY59" s="218"/>
      <c r="CZ59" s="217"/>
      <c r="DA59" s="218"/>
      <c r="DB59" s="217"/>
      <c r="DC59" s="217"/>
      <c r="DD59" s="217"/>
      <c r="DE59" s="217"/>
      <c r="DF59" s="217"/>
      <c r="DG59" s="217"/>
      <c r="DH59" s="249">
        <f t="shared" ref="DH59:DI64" si="19">B59+CZ59+DB59+D59+F59+H59+J59+L59+N59+P59+R59+T59+V59+X59+Z59+AB59+AD59+AF59+AH59+AJ59+AL59+AN59+AP59+AR59+AT59+AV59+AX59+AZ59+BB59+BD59+BF59+BH59+BJ59+BL59+BN59+BP59+BR59+BT59+BV59+BX59+BZ59+CB59+CD59+CF59+CH59+CJ59+CL59+CP59+CR59+CT59+CV59+CX59+CN59</f>
        <v>6</v>
      </c>
      <c r="DI59" s="222">
        <f t="shared" si="19"/>
        <v>7057.5</v>
      </c>
      <c r="DJ59" s="223">
        <f t="shared" ref="DJ59:DJ60" si="20">DH59+187</f>
        <v>193</v>
      </c>
      <c r="DK59" s="223">
        <f t="shared" ref="DK59:DK60" si="21">DI59+284683</f>
        <v>291740.5</v>
      </c>
      <c r="DL59" s="7"/>
      <c r="DM59" s="7"/>
    </row>
    <row r="60" spans="1:117" hidden="1" x14ac:dyDescent="0.3">
      <c r="A60" s="239" t="s">
        <v>184</v>
      </c>
      <c r="B60" s="85"/>
      <c r="C60" s="81"/>
      <c r="D60" s="210">
        <v>2</v>
      </c>
      <c r="E60" s="211">
        <v>2950</v>
      </c>
      <c r="F60" s="210">
        <v>2</v>
      </c>
      <c r="G60" s="211">
        <v>2921</v>
      </c>
      <c r="H60" s="246">
        <v>2</v>
      </c>
      <c r="I60" s="218">
        <v>1186.5</v>
      </c>
      <c r="J60" s="246"/>
      <c r="K60" s="218"/>
      <c r="L60" s="246"/>
      <c r="M60" s="218"/>
      <c r="N60" s="246"/>
      <c r="O60" s="218"/>
      <c r="P60" s="246"/>
      <c r="Q60" s="218"/>
      <c r="R60" s="246"/>
      <c r="S60" s="218"/>
      <c r="T60" s="246"/>
      <c r="U60" s="218"/>
      <c r="V60" s="246"/>
      <c r="W60" s="218"/>
      <c r="X60" s="246"/>
      <c r="Y60" s="218"/>
      <c r="Z60" s="246"/>
      <c r="AA60" s="218"/>
      <c r="AB60" s="246"/>
      <c r="AC60" s="218"/>
      <c r="AD60" s="246"/>
      <c r="AE60" s="218"/>
      <c r="AF60" s="246"/>
      <c r="AG60" s="218"/>
      <c r="AH60" s="246"/>
      <c r="AI60" s="218"/>
      <c r="AJ60" s="246"/>
      <c r="AK60" s="218"/>
      <c r="AL60" s="246"/>
      <c r="AM60" s="218"/>
      <c r="AN60" s="246"/>
      <c r="AO60" s="218"/>
      <c r="AP60" s="246"/>
      <c r="AQ60" s="218"/>
      <c r="AR60" s="246"/>
      <c r="AS60" s="218"/>
      <c r="AT60" s="246"/>
      <c r="AU60" s="218"/>
      <c r="AV60" s="246"/>
      <c r="AW60" s="218"/>
      <c r="AX60" s="246"/>
      <c r="AY60" s="218"/>
      <c r="AZ60" s="246"/>
      <c r="BA60" s="218"/>
      <c r="BB60" s="246"/>
      <c r="BC60" s="218"/>
      <c r="BD60" s="246"/>
      <c r="BE60" s="218"/>
      <c r="BF60" s="246"/>
      <c r="BG60" s="218"/>
      <c r="BH60" s="246"/>
      <c r="BI60" s="218"/>
      <c r="BJ60" s="246"/>
      <c r="BK60" s="218"/>
      <c r="BL60" s="246"/>
      <c r="BM60" s="218"/>
      <c r="BN60" s="246"/>
      <c r="BO60" s="218"/>
      <c r="BP60" s="246"/>
      <c r="BQ60" s="218"/>
      <c r="BR60" s="246"/>
      <c r="BS60" s="218"/>
      <c r="BT60" s="246"/>
      <c r="BU60" s="218"/>
      <c r="BV60" s="246"/>
      <c r="BW60" s="218"/>
      <c r="BX60" s="246"/>
      <c r="BY60" s="218"/>
      <c r="BZ60" s="246"/>
      <c r="CA60" s="218"/>
      <c r="CB60" s="246"/>
      <c r="CC60" s="218"/>
      <c r="CD60" s="246"/>
      <c r="CE60" s="218"/>
      <c r="CF60" s="246"/>
      <c r="CG60" s="218"/>
      <c r="CH60" s="246"/>
      <c r="CI60" s="218"/>
      <c r="CJ60" s="247"/>
      <c r="CK60" s="218"/>
      <c r="CL60" s="248"/>
      <c r="CM60" s="218"/>
      <c r="CN60" s="223"/>
      <c r="CO60" s="222"/>
      <c r="CP60" s="223"/>
      <c r="CQ60" s="223"/>
      <c r="CR60" s="247"/>
      <c r="CS60" s="218"/>
      <c r="CT60" s="247"/>
      <c r="CU60" s="218"/>
      <c r="CV60" s="247"/>
      <c r="CW60" s="218"/>
      <c r="CX60" s="247"/>
      <c r="CY60" s="218"/>
      <c r="CZ60" s="217"/>
      <c r="DA60" s="218"/>
      <c r="DB60" s="217"/>
      <c r="DC60" s="217"/>
      <c r="DD60" s="217"/>
      <c r="DE60" s="217"/>
      <c r="DF60" s="217"/>
      <c r="DG60" s="217"/>
      <c r="DH60" s="249">
        <f t="shared" si="19"/>
        <v>6</v>
      </c>
      <c r="DI60" s="222">
        <f t="shared" si="19"/>
        <v>7057.5</v>
      </c>
      <c r="DJ60" s="223">
        <f t="shared" si="20"/>
        <v>193</v>
      </c>
      <c r="DK60" s="223">
        <f t="shared" si="21"/>
        <v>291740.5</v>
      </c>
      <c r="DL60" s="7"/>
      <c r="DM60" s="7"/>
    </row>
    <row r="61" spans="1:117" hidden="1" x14ac:dyDescent="0.3">
      <c r="A61" s="239" t="s">
        <v>185</v>
      </c>
      <c r="B61" s="85"/>
      <c r="C61" s="81"/>
      <c r="D61" s="210">
        <v>2</v>
      </c>
      <c r="E61" s="211">
        <v>2950</v>
      </c>
      <c r="F61" s="210">
        <v>2</v>
      </c>
      <c r="G61" s="211">
        <v>2921</v>
      </c>
      <c r="H61" s="246">
        <v>2</v>
      </c>
      <c r="I61" s="218">
        <v>1186.5</v>
      </c>
      <c r="J61" s="246"/>
      <c r="K61" s="218"/>
      <c r="L61" s="246"/>
      <c r="M61" s="218"/>
      <c r="N61" s="246"/>
      <c r="O61" s="218"/>
      <c r="P61" s="246"/>
      <c r="Q61" s="218"/>
      <c r="R61" s="246"/>
      <c r="S61" s="218"/>
      <c r="T61" s="246"/>
      <c r="U61" s="218"/>
      <c r="V61" s="246"/>
      <c r="W61" s="218"/>
      <c r="X61" s="246"/>
      <c r="Y61" s="218"/>
      <c r="Z61" s="246"/>
      <c r="AA61" s="218"/>
      <c r="AB61" s="246"/>
      <c r="AC61" s="218"/>
      <c r="AD61" s="246"/>
      <c r="AE61" s="218"/>
      <c r="AF61" s="246"/>
      <c r="AG61" s="218"/>
      <c r="AH61" s="246"/>
      <c r="AI61" s="218"/>
      <c r="AJ61" s="246"/>
      <c r="AK61" s="218"/>
      <c r="AL61" s="246"/>
      <c r="AM61" s="218"/>
      <c r="AN61" s="246"/>
      <c r="AO61" s="218"/>
      <c r="AP61" s="246"/>
      <c r="AQ61" s="218"/>
      <c r="AR61" s="246"/>
      <c r="AS61" s="218"/>
      <c r="AT61" s="246"/>
      <c r="AU61" s="218"/>
      <c r="AV61" s="246"/>
      <c r="AW61" s="218"/>
      <c r="AX61" s="246"/>
      <c r="AY61" s="218"/>
      <c r="AZ61" s="246"/>
      <c r="BA61" s="218"/>
      <c r="BB61" s="246"/>
      <c r="BC61" s="218"/>
      <c r="BD61" s="246"/>
      <c r="BE61" s="218"/>
      <c r="BF61" s="246"/>
      <c r="BG61" s="218"/>
      <c r="BH61" s="246"/>
      <c r="BI61" s="218"/>
      <c r="BJ61" s="246"/>
      <c r="BK61" s="218"/>
      <c r="BL61" s="246"/>
      <c r="BM61" s="218"/>
      <c r="BN61" s="246"/>
      <c r="BO61" s="218"/>
      <c r="BP61" s="246"/>
      <c r="BQ61" s="218"/>
      <c r="BR61" s="246"/>
      <c r="BS61" s="218"/>
      <c r="BT61" s="246"/>
      <c r="BU61" s="218"/>
      <c r="BV61" s="246"/>
      <c r="BW61" s="218"/>
      <c r="BX61" s="246"/>
      <c r="BY61" s="218"/>
      <c r="BZ61" s="246"/>
      <c r="CA61" s="218"/>
      <c r="CB61" s="246"/>
      <c r="CC61" s="218"/>
      <c r="CD61" s="246"/>
      <c r="CE61" s="218"/>
      <c r="CF61" s="246"/>
      <c r="CG61" s="218"/>
      <c r="CH61" s="246"/>
      <c r="CI61" s="218"/>
      <c r="CJ61" s="247"/>
      <c r="CK61" s="218"/>
      <c r="CL61" s="248"/>
      <c r="CM61" s="218"/>
      <c r="CN61" s="223"/>
      <c r="CO61" s="222"/>
      <c r="CP61" s="223"/>
      <c r="CQ61" s="223"/>
      <c r="CR61" s="247"/>
      <c r="CS61" s="218"/>
      <c r="CT61" s="247"/>
      <c r="CU61" s="218"/>
      <c r="CV61" s="247"/>
      <c r="CW61" s="218"/>
      <c r="CX61" s="247"/>
      <c r="CY61" s="218"/>
      <c r="CZ61" s="217"/>
      <c r="DA61" s="218"/>
      <c r="DB61" s="217"/>
      <c r="DC61" s="217"/>
      <c r="DD61" s="217"/>
      <c r="DE61" s="217"/>
      <c r="DF61" s="217"/>
      <c r="DG61" s="217"/>
      <c r="DH61" s="249">
        <f t="shared" si="19"/>
        <v>6</v>
      </c>
      <c r="DI61" s="222">
        <f t="shared" si="19"/>
        <v>7057.5</v>
      </c>
      <c r="DJ61" s="223">
        <f>DH61+122</f>
        <v>128</v>
      </c>
      <c r="DK61" s="223">
        <f>DI61+187187</f>
        <v>194244.5</v>
      </c>
      <c r="DL61" s="7"/>
      <c r="DM61" s="7"/>
    </row>
    <row r="62" spans="1:117" hidden="1" x14ac:dyDescent="0.3">
      <c r="A62" s="239" t="s">
        <v>186</v>
      </c>
      <c r="B62" s="85"/>
      <c r="C62" s="81"/>
      <c r="D62" s="210"/>
      <c r="E62" s="211"/>
      <c r="F62" s="210"/>
      <c r="G62" s="211"/>
      <c r="H62" s="246"/>
      <c r="I62" s="218"/>
      <c r="J62" s="246"/>
      <c r="K62" s="218"/>
      <c r="L62" s="246"/>
      <c r="M62" s="218"/>
      <c r="N62" s="246"/>
      <c r="O62" s="218"/>
      <c r="P62" s="246"/>
      <c r="Q62" s="218"/>
      <c r="R62" s="246"/>
      <c r="S62" s="218"/>
      <c r="T62" s="246"/>
      <c r="U62" s="218"/>
      <c r="V62" s="246"/>
      <c r="W62" s="218"/>
      <c r="X62" s="246"/>
      <c r="Y62" s="218"/>
      <c r="Z62" s="246"/>
      <c r="AA62" s="218"/>
      <c r="AB62" s="246"/>
      <c r="AC62" s="218"/>
      <c r="AD62" s="246"/>
      <c r="AE62" s="218"/>
      <c r="AF62" s="246"/>
      <c r="AG62" s="218"/>
      <c r="AH62" s="246"/>
      <c r="AI62" s="218"/>
      <c r="AJ62" s="246"/>
      <c r="AK62" s="218"/>
      <c r="AL62" s="246"/>
      <c r="AM62" s="218"/>
      <c r="AN62" s="246"/>
      <c r="AO62" s="218"/>
      <c r="AP62" s="246"/>
      <c r="AQ62" s="218"/>
      <c r="AR62" s="246"/>
      <c r="AS62" s="218"/>
      <c r="AT62" s="246"/>
      <c r="AU62" s="218"/>
      <c r="AV62" s="246"/>
      <c r="AW62" s="218"/>
      <c r="AX62" s="246"/>
      <c r="AY62" s="218"/>
      <c r="AZ62" s="246"/>
      <c r="BA62" s="218"/>
      <c r="BB62" s="246"/>
      <c r="BC62" s="218"/>
      <c r="BD62" s="246"/>
      <c r="BE62" s="218"/>
      <c r="BF62" s="246"/>
      <c r="BG62" s="218"/>
      <c r="BH62" s="247"/>
      <c r="BI62" s="218"/>
      <c r="BJ62" s="246"/>
      <c r="BK62" s="218"/>
      <c r="BL62" s="246"/>
      <c r="BM62" s="218"/>
      <c r="BN62" s="246"/>
      <c r="BO62" s="218"/>
      <c r="BP62" s="246"/>
      <c r="BQ62" s="218"/>
      <c r="BR62" s="246"/>
      <c r="BS62" s="218"/>
      <c r="BT62" s="246"/>
      <c r="BU62" s="218"/>
      <c r="BV62" s="246"/>
      <c r="BW62" s="218"/>
      <c r="BX62" s="246"/>
      <c r="BY62" s="218"/>
      <c r="BZ62" s="246"/>
      <c r="CA62" s="218"/>
      <c r="CB62" s="246"/>
      <c r="CC62" s="218"/>
      <c r="CD62" s="246"/>
      <c r="CE62" s="218"/>
      <c r="CF62" s="246"/>
      <c r="CG62" s="218"/>
      <c r="CH62" s="246"/>
      <c r="CI62" s="218"/>
      <c r="CJ62" s="247"/>
      <c r="CK62" s="218"/>
      <c r="CL62" s="248"/>
      <c r="CM62" s="218"/>
      <c r="CN62" s="223"/>
      <c r="CO62" s="222"/>
      <c r="CP62" s="223"/>
      <c r="CQ62" s="223"/>
      <c r="CR62" s="247"/>
      <c r="CS62" s="218"/>
      <c r="CT62" s="247"/>
      <c r="CU62" s="218"/>
      <c r="CV62" s="247"/>
      <c r="CW62" s="218"/>
      <c r="CX62" s="247"/>
      <c r="CY62" s="218"/>
      <c r="CZ62" s="217"/>
      <c r="DA62" s="218"/>
      <c r="DB62" s="217"/>
      <c r="DC62" s="217"/>
      <c r="DD62" s="217"/>
      <c r="DE62" s="217"/>
      <c r="DF62" s="217"/>
      <c r="DG62" s="217"/>
      <c r="DH62" s="249">
        <f t="shared" si="19"/>
        <v>0</v>
      </c>
      <c r="DI62" s="222">
        <f t="shared" si="19"/>
        <v>0</v>
      </c>
      <c r="DJ62" s="223">
        <f>DH62+65</f>
        <v>65</v>
      </c>
      <c r="DK62" s="223">
        <f>DI62+97428</f>
        <v>97428</v>
      </c>
      <c r="DL62" s="7"/>
      <c r="DM62" s="7"/>
    </row>
    <row r="63" spans="1:117" ht="62.4" hidden="1" x14ac:dyDescent="0.3">
      <c r="A63" s="79" t="s">
        <v>187</v>
      </c>
      <c r="B63" s="85">
        <v>1</v>
      </c>
      <c r="C63" s="81">
        <v>900</v>
      </c>
      <c r="D63" s="250">
        <v>1</v>
      </c>
      <c r="E63" s="211">
        <v>360</v>
      </c>
      <c r="F63" s="212">
        <v>1</v>
      </c>
      <c r="G63" s="211">
        <v>50</v>
      </c>
      <c r="H63" s="247">
        <v>3</v>
      </c>
      <c r="I63" s="218">
        <v>900</v>
      </c>
      <c r="J63" s="247"/>
      <c r="K63" s="218"/>
      <c r="L63" s="247"/>
      <c r="M63" s="218"/>
      <c r="N63" s="247"/>
      <c r="O63" s="218"/>
      <c r="P63" s="247"/>
      <c r="Q63" s="218"/>
      <c r="R63" s="247"/>
      <c r="S63" s="218"/>
      <c r="T63" s="213"/>
      <c r="U63" s="218"/>
      <c r="V63" s="246"/>
      <c r="W63" s="218"/>
      <c r="X63" s="246"/>
      <c r="Y63" s="218"/>
      <c r="Z63" s="247"/>
      <c r="AA63" s="218"/>
      <c r="AB63" s="247"/>
      <c r="AC63" s="247"/>
      <c r="AD63" s="248"/>
      <c r="AE63" s="248"/>
      <c r="AF63" s="248"/>
      <c r="AG63" s="248"/>
      <c r="AH63" s="247"/>
      <c r="AI63" s="251"/>
      <c r="AJ63" s="247"/>
      <c r="AK63" s="218"/>
      <c r="AL63" s="247"/>
      <c r="AM63" s="218"/>
      <c r="AN63" s="247"/>
      <c r="AO63" s="218"/>
      <c r="AP63" s="247"/>
      <c r="AQ63" s="218"/>
      <c r="AR63" s="247"/>
      <c r="AS63" s="218"/>
      <c r="AT63" s="247"/>
      <c r="AU63" s="218"/>
      <c r="AV63" s="217"/>
      <c r="AW63" s="251"/>
      <c r="AX63" s="247"/>
      <c r="AY63" s="218"/>
      <c r="AZ63" s="247"/>
      <c r="BA63" s="218"/>
      <c r="BB63" s="247"/>
      <c r="BC63" s="218"/>
      <c r="BD63" s="247"/>
      <c r="BE63" s="218"/>
      <c r="BF63" s="247"/>
      <c r="BG63" s="218"/>
      <c r="BH63" s="247"/>
      <c r="BI63" s="218"/>
      <c r="BJ63" s="247"/>
      <c r="BK63" s="218"/>
      <c r="BL63" s="247"/>
      <c r="BM63" s="218"/>
      <c r="BN63" s="213"/>
      <c r="BO63" s="218"/>
      <c r="BP63" s="217"/>
      <c r="BQ63" s="218"/>
      <c r="BR63" s="217"/>
      <c r="BS63" s="218"/>
      <c r="BT63" s="247"/>
      <c r="BU63" s="222"/>
      <c r="BV63" s="247"/>
      <c r="BW63" s="218"/>
      <c r="BX63" s="248"/>
      <c r="BY63" s="218"/>
      <c r="BZ63" s="247"/>
      <c r="CA63" s="218"/>
      <c r="CB63" s="247"/>
      <c r="CC63" s="218"/>
      <c r="CD63" s="217"/>
      <c r="CE63" s="218"/>
      <c r="CF63" s="247"/>
      <c r="CG63" s="218"/>
      <c r="CH63" s="247"/>
      <c r="CI63" s="218"/>
      <c r="CJ63" s="247"/>
      <c r="CK63" s="218"/>
      <c r="CL63" s="248"/>
      <c r="CM63" s="218"/>
      <c r="CN63" s="223"/>
      <c r="CO63" s="222"/>
      <c r="CP63" s="223"/>
      <c r="CQ63" s="223"/>
      <c r="CR63" s="247"/>
      <c r="CS63" s="218"/>
      <c r="CT63" s="247"/>
      <c r="CU63" s="218"/>
      <c r="CV63" s="247"/>
      <c r="CW63" s="218"/>
      <c r="CX63" s="247"/>
      <c r="CY63" s="218"/>
      <c r="CZ63" s="217"/>
      <c r="DA63" s="218"/>
      <c r="DB63" s="217"/>
      <c r="DC63" s="217"/>
      <c r="DD63" s="217"/>
      <c r="DE63" s="217"/>
      <c r="DF63" s="217"/>
      <c r="DG63" s="217"/>
      <c r="DH63" s="249">
        <f t="shared" si="19"/>
        <v>6</v>
      </c>
      <c r="DI63" s="222">
        <f t="shared" si="19"/>
        <v>2210</v>
      </c>
      <c r="DJ63" s="223">
        <f>DH63+248</f>
        <v>254</v>
      </c>
      <c r="DK63" s="223">
        <f>DI63+84666</f>
        <v>86876</v>
      </c>
      <c r="DL63" s="7"/>
      <c r="DM63" s="7"/>
    </row>
    <row r="64" spans="1:117" ht="46.8" hidden="1" x14ac:dyDescent="0.3">
      <c r="A64" s="79" t="s">
        <v>188</v>
      </c>
      <c r="B64" s="85">
        <v>3</v>
      </c>
      <c r="C64" s="81">
        <v>900</v>
      </c>
      <c r="D64" s="210"/>
      <c r="E64" s="211"/>
      <c r="F64" s="212">
        <v>3</v>
      </c>
      <c r="G64" s="211">
        <v>1150</v>
      </c>
      <c r="H64" s="247">
        <v>6</v>
      </c>
      <c r="I64" s="218">
        <v>1800</v>
      </c>
      <c r="J64" s="247"/>
      <c r="K64" s="218"/>
      <c r="L64" s="247"/>
      <c r="M64" s="218"/>
      <c r="N64" s="247"/>
      <c r="O64" s="218"/>
      <c r="P64" s="247"/>
      <c r="Q64" s="218"/>
      <c r="R64" s="247"/>
      <c r="S64" s="218"/>
      <c r="T64" s="213"/>
      <c r="U64" s="218"/>
      <c r="V64" s="246"/>
      <c r="W64" s="218"/>
      <c r="X64" s="246"/>
      <c r="Y64" s="218"/>
      <c r="Z64" s="247"/>
      <c r="AA64" s="218"/>
      <c r="AB64" s="247"/>
      <c r="AC64" s="247"/>
      <c r="AD64" s="248"/>
      <c r="AE64" s="248"/>
      <c r="AF64" s="248"/>
      <c r="AG64" s="248"/>
      <c r="AH64" s="247"/>
      <c r="AI64" s="251"/>
      <c r="AJ64" s="247"/>
      <c r="AK64" s="218"/>
      <c r="AL64" s="247"/>
      <c r="AM64" s="218"/>
      <c r="AN64" s="247"/>
      <c r="AO64" s="218"/>
      <c r="AP64" s="247"/>
      <c r="AQ64" s="218"/>
      <c r="AR64" s="247"/>
      <c r="AS64" s="218"/>
      <c r="AT64" s="247"/>
      <c r="AU64" s="218"/>
      <c r="AV64" s="217"/>
      <c r="AW64" s="251"/>
      <c r="AX64" s="247"/>
      <c r="AY64" s="218"/>
      <c r="AZ64" s="247"/>
      <c r="BA64" s="218"/>
      <c r="BB64" s="247"/>
      <c r="BC64" s="218"/>
      <c r="BD64" s="247"/>
      <c r="BE64" s="218"/>
      <c r="BF64" s="247"/>
      <c r="BG64" s="218"/>
      <c r="BH64" s="247"/>
      <c r="BI64" s="218"/>
      <c r="BJ64" s="247"/>
      <c r="BK64" s="218"/>
      <c r="BL64" s="247"/>
      <c r="BM64" s="218"/>
      <c r="BN64" s="213"/>
      <c r="BO64" s="218"/>
      <c r="BP64" s="217"/>
      <c r="BQ64" s="218"/>
      <c r="BR64" s="217"/>
      <c r="BS64" s="218"/>
      <c r="BT64" s="247"/>
      <c r="BU64" s="222"/>
      <c r="BV64" s="247"/>
      <c r="BW64" s="218"/>
      <c r="BX64" s="248"/>
      <c r="BY64" s="218"/>
      <c r="BZ64" s="247"/>
      <c r="CA64" s="218"/>
      <c r="CB64" s="247"/>
      <c r="CC64" s="218"/>
      <c r="CD64" s="217"/>
      <c r="CE64" s="218"/>
      <c r="CF64" s="247"/>
      <c r="CG64" s="218"/>
      <c r="CH64" s="247"/>
      <c r="CI64" s="218"/>
      <c r="CJ64" s="247"/>
      <c r="CK64" s="218"/>
      <c r="CL64" s="248"/>
      <c r="CM64" s="218"/>
      <c r="CN64" s="223"/>
      <c r="CO64" s="222"/>
      <c r="CP64" s="223"/>
      <c r="CQ64" s="223"/>
      <c r="CR64" s="247"/>
      <c r="CS64" s="218"/>
      <c r="CT64" s="247"/>
      <c r="CU64" s="218"/>
      <c r="CV64" s="247"/>
      <c r="CW64" s="218"/>
      <c r="CX64" s="247"/>
      <c r="CY64" s="218"/>
      <c r="CZ64" s="217"/>
      <c r="DA64" s="218"/>
      <c r="DB64" s="217"/>
      <c r="DC64" s="217"/>
      <c r="DD64" s="217"/>
      <c r="DE64" s="217"/>
      <c r="DF64" s="217"/>
      <c r="DG64" s="217"/>
      <c r="DH64" s="249">
        <f t="shared" si="19"/>
        <v>12</v>
      </c>
      <c r="DI64" s="222">
        <f t="shared" si="19"/>
        <v>3850</v>
      </c>
      <c r="DJ64" s="223">
        <f>DH64+243</f>
        <v>255</v>
      </c>
      <c r="DK64" s="223">
        <f>DI64+71350</f>
        <v>75200</v>
      </c>
      <c r="DL64" s="7"/>
      <c r="DM64" s="7"/>
    </row>
    <row r="65" spans="1:118" hidden="1" x14ac:dyDescent="0.3">
      <c r="A65" s="79" t="s">
        <v>189</v>
      </c>
      <c r="B65" s="85"/>
      <c r="C65" s="81"/>
      <c r="D65" s="210">
        <v>0</v>
      </c>
      <c r="E65" s="211">
        <v>0</v>
      </c>
      <c r="F65" s="232">
        <v>0</v>
      </c>
      <c r="G65" s="211">
        <v>0</v>
      </c>
      <c r="H65" s="252">
        <v>0</v>
      </c>
      <c r="I65" s="253">
        <v>0</v>
      </c>
      <c r="J65" s="247"/>
      <c r="K65" s="218"/>
      <c r="L65" s="252"/>
      <c r="M65" s="218"/>
      <c r="N65" s="247"/>
      <c r="O65" s="218"/>
      <c r="P65" s="247"/>
      <c r="Q65" s="218"/>
      <c r="R65" s="247"/>
      <c r="S65" s="218"/>
      <c r="T65" s="213"/>
      <c r="U65" s="218"/>
      <c r="V65" s="254"/>
      <c r="W65" s="253"/>
      <c r="X65" s="254"/>
      <c r="Y65" s="253"/>
      <c r="Z65" s="252"/>
      <c r="AA65" s="253"/>
      <c r="AB65" s="252"/>
      <c r="AC65" s="252"/>
      <c r="AD65" s="255"/>
      <c r="AE65" s="255"/>
      <c r="AF65" s="255"/>
      <c r="AG65" s="255"/>
      <c r="AH65" s="252"/>
      <c r="AI65" s="256"/>
      <c r="AJ65" s="252"/>
      <c r="AK65" s="253"/>
      <c r="AL65" s="252"/>
      <c r="AM65" s="253"/>
      <c r="AN65" s="252"/>
      <c r="AO65" s="253"/>
      <c r="AP65" s="252"/>
      <c r="AQ65" s="253"/>
      <c r="AR65" s="252"/>
      <c r="AS65" s="253"/>
      <c r="AT65" s="252"/>
      <c r="AU65" s="253"/>
      <c r="AV65" s="217"/>
      <c r="AW65" s="251"/>
      <c r="AX65" s="247"/>
      <c r="AY65" s="218"/>
      <c r="AZ65" s="247"/>
      <c r="BA65" s="218"/>
      <c r="BB65" s="247"/>
      <c r="BC65" s="218"/>
      <c r="BD65" s="247"/>
      <c r="BE65" s="218"/>
      <c r="BF65" s="247"/>
      <c r="BG65" s="218"/>
      <c r="BH65" s="247"/>
      <c r="BI65" s="218"/>
      <c r="BJ65" s="247"/>
      <c r="BK65" s="218"/>
      <c r="BL65" s="247"/>
      <c r="BM65" s="218"/>
      <c r="BN65" s="213"/>
      <c r="BO65" s="218"/>
      <c r="BP65" s="217"/>
      <c r="BQ65" s="218"/>
      <c r="BR65" s="217"/>
      <c r="BS65" s="218"/>
      <c r="BT65" s="247"/>
      <c r="BU65" s="222"/>
      <c r="BV65" s="247"/>
      <c r="BW65" s="218"/>
      <c r="BX65" s="248"/>
      <c r="BY65" s="218"/>
      <c r="BZ65" s="247"/>
      <c r="CA65" s="218"/>
      <c r="CB65" s="247"/>
      <c r="CC65" s="218"/>
      <c r="CD65" s="217"/>
      <c r="CE65" s="218"/>
      <c r="CF65" s="247"/>
      <c r="CG65" s="218"/>
      <c r="CH65" s="247"/>
      <c r="CI65" s="218"/>
      <c r="CJ65" s="247"/>
      <c r="CK65" s="218"/>
      <c r="CL65" s="248"/>
      <c r="CM65" s="218"/>
      <c r="CN65" s="218"/>
      <c r="CO65" s="218"/>
      <c r="CP65" s="248"/>
      <c r="CQ65" s="218"/>
      <c r="CR65" s="247"/>
      <c r="CS65" s="218"/>
      <c r="CT65" s="247"/>
      <c r="CU65" s="218"/>
      <c r="CV65" s="247"/>
      <c r="CW65" s="218"/>
      <c r="CX65" s="247"/>
      <c r="CY65" s="218"/>
      <c r="CZ65" s="217"/>
      <c r="DA65" s="218"/>
      <c r="DB65" s="217"/>
      <c r="DC65" s="217"/>
      <c r="DD65" s="217"/>
      <c r="DE65" s="217"/>
      <c r="DF65" s="217"/>
      <c r="DG65" s="217"/>
      <c r="DH65" s="249"/>
      <c r="DI65" s="222"/>
      <c r="DJ65" s="223">
        <f>DH65+162</f>
        <v>162</v>
      </c>
      <c r="DK65" s="223">
        <f>DI65+240650</f>
        <v>240650</v>
      </c>
      <c r="DL65" s="7"/>
      <c r="DM65" s="7"/>
    </row>
    <row r="66" spans="1:118" ht="18" customHeight="1" x14ac:dyDescent="0.3">
      <c r="A66" s="367" t="s">
        <v>0</v>
      </c>
      <c r="B66" s="367"/>
      <c r="C66" s="367"/>
      <c r="D66" s="367"/>
      <c r="E66" s="367"/>
      <c r="F66" s="367"/>
      <c r="G66" s="367"/>
      <c r="H66" s="367"/>
      <c r="I66" s="367"/>
      <c r="J66" s="367"/>
      <c r="K66" s="367"/>
      <c r="L66" s="367"/>
      <c r="M66" s="367"/>
      <c r="N66" s="367"/>
      <c r="O66" s="367"/>
      <c r="P66" s="367"/>
      <c r="Q66" s="367"/>
      <c r="R66" s="367"/>
      <c r="S66" s="367"/>
      <c r="T66" s="367"/>
      <c r="U66" s="367"/>
      <c r="V66" s="367"/>
      <c r="W66" s="367"/>
      <c r="X66" s="367"/>
      <c r="Y66" s="367"/>
      <c r="Z66" s="367"/>
      <c r="AA66" s="367"/>
      <c r="AB66" s="367"/>
      <c r="AC66" s="367"/>
      <c r="AD66" s="367"/>
      <c r="AE66" s="367"/>
      <c r="AF66" s="367"/>
      <c r="AG66" s="367"/>
      <c r="AH66" s="367"/>
      <c r="AI66" s="367"/>
      <c r="AJ66" s="367"/>
      <c r="AK66" s="367"/>
      <c r="AL66" s="367"/>
      <c r="AM66" s="367"/>
      <c r="AN66" s="367"/>
      <c r="AO66" s="367"/>
      <c r="AP66" s="367"/>
      <c r="AQ66" s="367"/>
      <c r="AR66" s="367"/>
      <c r="AS66" s="367"/>
      <c r="AT66" s="367"/>
      <c r="AU66" s="367"/>
      <c r="AV66" s="367"/>
      <c r="AW66" s="367"/>
      <c r="AX66" s="367"/>
      <c r="AY66" s="367"/>
      <c r="AZ66" s="367"/>
      <c r="BA66" s="367"/>
      <c r="BB66" s="367"/>
      <c r="BC66" s="367"/>
      <c r="BD66" s="367"/>
      <c r="BE66" s="367"/>
      <c r="BF66" s="367"/>
      <c r="BG66" s="367"/>
      <c r="BH66" s="367"/>
      <c r="BI66" s="367"/>
      <c r="BJ66" s="367"/>
      <c r="BK66" s="367"/>
      <c r="BL66" s="367"/>
      <c r="BM66" s="367"/>
      <c r="BN66" s="367"/>
      <c r="BO66" s="367"/>
      <c r="BP66" s="367"/>
      <c r="BQ66" s="367"/>
      <c r="BR66" s="367"/>
      <c r="BS66" s="367"/>
      <c r="BT66" s="367"/>
      <c r="BU66" s="367"/>
      <c r="BV66" s="367"/>
      <c r="BW66" s="367"/>
      <c r="BX66" s="367"/>
      <c r="BY66" s="367"/>
      <c r="BZ66" s="367"/>
      <c r="CA66" s="367"/>
      <c r="CB66" s="367"/>
      <c r="CC66" s="367"/>
      <c r="CD66" s="367"/>
      <c r="CE66" s="367"/>
      <c r="CF66" s="367"/>
      <c r="CG66" s="367"/>
      <c r="CH66" s="367"/>
      <c r="CI66" s="367"/>
      <c r="CJ66" s="367"/>
      <c r="CK66" s="367"/>
      <c r="CL66" s="367"/>
      <c r="CM66" s="367"/>
      <c r="CN66" s="367"/>
      <c r="CO66" s="367"/>
      <c r="CP66" s="367"/>
      <c r="CQ66" s="367"/>
      <c r="CR66" s="367"/>
      <c r="CS66" s="367"/>
      <c r="CT66" s="367"/>
      <c r="CU66" s="367"/>
      <c r="CV66" s="367"/>
      <c r="CW66" s="367"/>
      <c r="CX66" s="367"/>
      <c r="CY66" s="367"/>
      <c r="CZ66" s="367"/>
      <c r="DA66" s="367"/>
      <c r="DB66" s="367"/>
      <c r="DC66" s="367"/>
      <c r="DD66" s="367"/>
      <c r="DE66" s="367"/>
      <c r="DF66" s="367"/>
      <c r="DG66" s="367"/>
      <c r="DH66" s="367"/>
      <c r="DI66" s="367"/>
      <c r="DJ66" s="367"/>
      <c r="DK66" s="367"/>
    </row>
    <row r="67" spans="1:118" ht="17.25" customHeight="1" x14ac:dyDescent="0.3">
      <c r="A67" s="356" t="str">
        <f>A2</f>
        <v>о работе МКК Фонд микрофинансирования НСО на 31.12.2024</v>
      </c>
      <c r="B67" s="356"/>
      <c r="C67" s="356"/>
      <c r="D67" s="356"/>
      <c r="E67" s="356"/>
      <c r="F67" s="356"/>
      <c r="G67" s="356"/>
      <c r="H67" s="356"/>
      <c r="I67" s="356"/>
      <c r="J67" s="356"/>
      <c r="K67" s="356"/>
      <c r="L67" s="356"/>
      <c r="M67" s="356"/>
      <c r="N67" s="356"/>
      <c r="O67" s="356"/>
      <c r="P67" s="356"/>
      <c r="Q67" s="356"/>
      <c r="R67" s="356"/>
      <c r="S67" s="356"/>
      <c r="T67" s="356"/>
      <c r="U67" s="356"/>
      <c r="V67" s="356"/>
      <c r="W67" s="356"/>
      <c r="X67" s="356"/>
      <c r="Y67" s="356"/>
      <c r="Z67" s="356"/>
      <c r="AA67" s="356"/>
      <c r="AB67" s="356"/>
      <c r="AC67" s="356"/>
      <c r="AD67" s="356"/>
      <c r="AE67" s="356"/>
      <c r="AF67" s="356"/>
      <c r="AG67" s="356"/>
      <c r="AH67" s="356"/>
      <c r="AI67" s="356"/>
      <c r="AJ67" s="356"/>
      <c r="AK67" s="356"/>
      <c r="AL67" s="356"/>
      <c r="AM67" s="356"/>
      <c r="AN67" s="356"/>
      <c r="AO67" s="356"/>
      <c r="AP67" s="356"/>
      <c r="AQ67" s="356"/>
      <c r="AR67" s="356"/>
      <c r="AS67" s="356"/>
      <c r="AT67" s="356"/>
      <c r="AU67" s="356"/>
      <c r="AV67" s="356"/>
      <c r="AW67" s="356"/>
      <c r="AX67" s="356"/>
      <c r="AY67" s="356"/>
      <c r="AZ67" s="356"/>
      <c r="BA67" s="356"/>
      <c r="BB67" s="356"/>
      <c r="BC67" s="356"/>
      <c r="BD67" s="356"/>
      <c r="BE67" s="356"/>
      <c r="BF67" s="356"/>
      <c r="BG67" s="356"/>
      <c r="BH67" s="356"/>
      <c r="BI67" s="356"/>
      <c r="BJ67" s="356"/>
      <c r="BK67" s="356"/>
      <c r="BL67" s="356"/>
      <c r="BM67" s="356"/>
      <c r="BN67" s="356"/>
      <c r="BO67" s="356"/>
      <c r="BP67" s="356"/>
      <c r="BQ67" s="356"/>
      <c r="BR67" s="356"/>
      <c r="BS67" s="356"/>
      <c r="BT67" s="356"/>
      <c r="BU67" s="356"/>
      <c r="BV67" s="356"/>
      <c r="BW67" s="356"/>
      <c r="BX67" s="356"/>
      <c r="BY67" s="356"/>
      <c r="BZ67" s="356"/>
      <c r="CA67" s="356"/>
      <c r="CB67" s="356"/>
      <c r="CC67" s="356"/>
      <c r="CD67" s="356"/>
      <c r="CE67" s="356"/>
      <c r="CF67" s="356"/>
      <c r="CG67" s="356"/>
      <c r="CH67" s="356"/>
      <c r="CI67" s="356"/>
      <c r="CJ67" s="356"/>
      <c r="CK67" s="356"/>
      <c r="CL67" s="356"/>
      <c r="CM67" s="356"/>
      <c r="CN67" s="356"/>
      <c r="CO67" s="356"/>
      <c r="CP67" s="356"/>
      <c r="CQ67" s="356"/>
      <c r="CR67" s="356"/>
      <c r="CS67" s="356"/>
      <c r="CT67" s="356"/>
      <c r="CU67" s="356"/>
      <c r="CV67" s="356"/>
      <c r="CW67" s="356"/>
      <c r="CX67" s="356"/>
      <c r="CY67" s="356"/>
      <c r="CZ67" s="356"/>
      <c r="DA67" s="356"/>
      <c r="DB67" s="356"/>
      <c r="DC67" s="356"/>
      <c r="DD67" s="356"/>
      <c r="DE67" s="356"/>
      <c r="DF67" s="356"/>
      <c r="DG67" s="356"/>
      <c r="DH67" s="356"/>
      <c r="DI67" s="356"/>
      <c r="DJ67" s="356"/>
      <c r="DK67" s="356"/>
    </row>
    <row r="68" spans="1:118" x14ac:dyDescent="0.3">
      <c r="A68" s="79" t="s">
        <v>190</v>
      </c>
      <c r="B68" s="73">
        <f t="shared" ref="B68:AG68" si="22">B21</f>
        <v>4</v>
      </c>
      <c r="C68" s="70">
        <f t="shared" si="22"/>
        <v>10850</v>
      </c>
      <c r="D68" s="58">
        <f t="shared" si="22"/>
        <v>5</v>
      </c>
      <c r="E68" s="70">
        <f t="shared" si="22"/>
        <v>14920</v>
      </c>
      <c r="F68" s="71">
        <f t="shared" si="22"/>
        <v>9</v>
      </c>
      <c r="G68" s="70">
        <f t="shared" si="22"/>
        <v>23800</v>
      </c>
      <c r="H68" s="71">
        <f t="shared" si="22"/>
        <v>8</v>
      </c>
      <c r="I68" s="70">
        <f t="shared" si="22"/>
        <v>8150</v>
      </c>
      <c r="J68" s="74">
        <f t="shared" si="22"/>
        <v>9</v>
      </c>
      <c r="K68" s="70">
        <f t="shared" si="22"/>
        <v>20960</v>
      </c>
      <c r="L68" s="71">
        <f t="shared" si="22"/>
        <v>7</v>
      </c>
      <c r="M68" s="70">
        <f t="shared" si="22"/>
        <v>14478</v>
      </c>
      <c r="N68" s="71">
        <f t="shared" si="22"/>
        <v>11</v>
      </c>
      <c r="O68" s="70">
        <f t="shared" si="22"/>
        <v>32440</v>
      </c>
      <c r="P68" s="71">
        <f t="shared" si="22"/>
        <v>8</v>
      </c>
      <c r="Q68" s="70">
        <f t="shared" si="22"/>
        <v>15000</v>
      </c>
      <c r="R68" s="71">
        <f t="shared" si="22"/>
        <v>4</v>
      </c>
      <c r="S68" s="70">
        <f t="shared" si="22"/>
        <v>11391</v>
      </c>
      <c r="T68" s="257">
        <f t="shared" si="22"/>
        <v>16</v>
      </c>
      <c r="U68" s="70">
        <f t="shared" si="22"/>
        <v>36565</v>
      </c>
      <c r="V68" s="73">
        <f t="shared" si="22"/>
        <v>12</v>
      </c>
      <c r="W68" s="70">
        <f t="shared" si="22"/>
        <v>23270</v>
      </c>
      <c r="X68" s="73">
        <f t="shared" si="22"/>
        <v>12</v>
      </c>
      <c r="Y68" s="70">
        <f t="shared" si="22"/>
        <v>28186</v>
      </c>
      <c r="Z68" s="71">
        <f t="shared" si="22"/>
        <v>6</v>
      </c>
      <c r="AA68" s="70">
        <f t="shared" si="22"/>
        <v>11000</v>
      </c>
      <c r="AB68" s="71">
        <f t="shared" si="22"/>
        <v>10</v>
      </c>
      <c r="AC68" s="70">
        <f t="shared" si="22"/>
        <v>21780</v>
      </c>
      <c r="AD68" s="74">
        <f t="shared" si="22"/>
        <v>12</v>
      </c>
      <c r="AE68" s="70">
        <f t="shared" si="22"/>
        <v>11700</v>
      </c>
      <c r="AF68" s="71">
        <f t="shared" si="22"/>
        <v>16</v>
      </c>
      <c r="AG68" s="70">
        <f t="shared" si="22"/>
        <v>27790</v>
      </c>
      <c r="AH68" s="71">
        <f t="shared" ref="AH68:BM68" si="23">AH21</f>
        <v>2</v>
      </c>
      <c r="AI68" s="70">
        <f t="shared" si="23"/>
        <v>1200</v>
      </c>
      <c r="AJ68" s="71">
        <f t="shared" si="23"/>
        <v>11</v>
      </c>
      <c r="AK68" s="70">
        <f t="shared" si="23"/>
        <v>18040</v>
      </c>
      <c r="AL68" s="71">
        <f t="shared" si="23"/>
        <v>7</v>
      </c>
      <c r="AM68" s="70">
        <f t="shared" si="23"/>
        <v>9450</v>
      </c>
      <c r="AN68" s="71">
        <f t="shared" si="23"/>
        <v>8</v>
      </c>
      <c r="AO68" s="70">
        <f t="shared" si="23"/>
        <v>11600</v>
      </c>
      <c r="AP68" s="71">
        <f t="shared" si="23"/>
        <v>6</v>
      </c>
      <c r="AQ68" s="70">
        <f t="shared" si="23"/>
        <v>9720</v>
      </c>
      <c r="AR68" s="71">
        <f t="shared" si="23"/>
        <v>10</v>
      </c>
      <c r="AS68" s="70">
        <f t="shared" si="23"/>
        <v>18650</v>
      </c>
      <c r="AT68" s="71">
        <f t="shared" si="23"/>
        <v>7</v>
      </c>
      <c r="AU68" s="70">
        <f t="shared" si="23"/>
        <v>14840</v>
      </c>
      <c r="AV68" s="257">
        <f t="shared" si="23"/>
        <v>10</v>
      </c>
      <c r="AW68" s="70">
        <f t="shared" si="23"/>
        <v>15328</v>
      </c>
      <c r="AX68" s="71">
        <f t="shared" si="23"/>
        <v>9</v>
      </c>
      <c r="AY68" s="70">
        <f t="shared" si="23"/>
        <v>11550</v>
      </c>
      <c r="AZ68" s="71">
        <f t="shared" si="23"/>
        <v>1</v>
      </c>
      <c r="BA68" s="70">
        <f t="shared" si="23"/>
        <v>350</v>
      </c>
      <c r="BB68" s="71">
        <f t="shared" si="23"/>
        <v>10</v>
      </c>
      <c r="BC68" s="70">
        <f t="shared" si="23"/>
        <v>12100</v>
      </c>
      <c r="BD68" s="71">
        <f t="shared" si="23"/>
        <v>7</v>
      </c>
      <c r="BE68" s="70">
        <f t="shared" si="23"/>
        <v>7250</v>
      </c>
      <c r="BF68" s="71">
        <f t="shared" si="23"/>
        <v>7</v>
      </c>
      <c r="BG68" s="70">
        <f t="shared" si="23"/>
        <v>10150</v>
      </c>
      <c r="BH68" s="71">
        <f t="shared" si="23"/>
        <v>6</v>
      </c>
      <c r="BI68" s="70">
        <f t="shared" si="23"/>
        <v>11800</v>
      </c>
      <c r="BJ68" s="71">
        <f t="shared" si="23"/>
        <v>7</v>
      </c>
      <c r="BK68" s="70">
        <f t="shared" si="23"/>
        <v>7700</v>
      </c>
      <c r="BL68" s="71">
        <f t="shared" si="23"/>
        <v>10</v>
      </c>
      <c r="BM68" s="70">
        <f t="shared" si="23"/>
        <v>20650</v>
      </c>
      <c r="BN68" s="71">
        <f t="shared" ref="BN68:CS68" si="24">BN21</f>
        <v>14</v>
      </c>
      <c r="BO68" s="70">
        <f t="shared" si="24"/>
        <v>19240</v>
      </c>
      <c r="BP68" s="258">
        <f t="shared" si="24"/>
        <v>11</v>
      </c>
      <c r="BQ68" s="70">
        <f t="shared" si="24"/>
        <v>16850</v>
      </c>
      <c r="BR68" s="73">
        <f t="shared" si="24"/>
        <v>11</v>
      </c>
      <c r="BS68" s="70">
        <f t="shared" si="24"/>
        <v>14330</v>
      </c>
      <c r="BT68" s="71">
        <f t="shared" si="24"/>
        <v>0</v>
      </c>
      <c r="BU68" s="70">
        <f t="shared" si="24"/>
        <v>0</v>
      </c>
      <c r="BV68" s="71">
        <f t="shared" si="24"/>
        <v>9</v>
      </c>
      <c r="BW68" s="70">
        <f t="shared" si="24"/>
        <v>13100</v>
      </c>
      <c r="BX68" s="74">
        <f t="shared" si="24"/>
        <v>10</v>
      </c>
      <c r="BY68" s="70">
        <f t="shared" si="24"/>
        <v>21860</v>
      </c>
      <c r="BZ68" s="71">
        <f t="shared" si="24"/>
        <v>5</v>
      </c>
      <c r="CA68" s="70">
        <f t="shared" si="24"/>
        <v>8467</v>
      </c>
      <c r="CB68" s="71">
        <f t="shared" si="24"/>
        <v>5</v>
      </c>
      <c r="CC68" s="70">
        <f t="shared" si="24"/>
        <v>7210</v>
      </c>
      <c r="CD68" s="73">
        <f t="shared" si="24"/>
        <v>12</v>
      </c>
      <c r="CE68" s="70">
        <f t="shared" si="24"/>
        <v>19100</v>
      </c>
      <c r="CF68" s="71">
        <f t="shared" si="24"/>
        <v>6</v>
      </c>
      <c r="CG68" s="70">
        <f t="shared" si="24"/>
        <v>10749</v>
      </c>
      <c r="CH68" s="71">
        <f t="shared" si="24"/>
        <v>8</v>
      </c>
      <c r="CI68" s="70">
        <f t="shared" si="24"/>
        <v>11070</v>
      </c>
      <c r="CJ68" s="71">
        <f t="shared" si="24"/>
        <v>7</v>
      </c>
      <c r="CK68" s="70">
        <f t="shared" si="24"/>
        <v>11230</v>
      </c>
      <c r="CL68" s="74">
        <f t="shared" si="24"/>
        <v>8</v>
      </c>
      <c r="CM68" s="70">
        <f t="shared" si="24"/>
        <v>9450</v>
      </c>
      <c r="CN68" s="74">
        <f t="shared" si="24"/>
        <v>12</v>
      </c>
      <c r="CO68" s="70">
        <f t="shared" si="24"/>
        <v>15770</v>
      </c>
      <c r="CP68" s="74">
        <f t="shared" si="24"/>
        <v>12</v>
      </c>
      <c r="CQ68" s="70">
        <f t="shared" si="24"/>
        <v>24580</v>
      </c>
      <c r="CR68" s="71">
        <f t="shared" si="24"/>
        <v>8</v>
      </c>
      <c r="CS68" s="70">
        <f t="shared" si="24"/>
        <v>15740</v>
      </c>
      <c r="CT68" s="71">
        <f t="shared" ref="CT68:DA68" si="25">CT21</f>
        <v>9</v>
      </c>
      <c r="CU68" s="70">
        <f t="shared" si="25"/>
        <v>17170</v>
      </c>
      <c r="CV68" s="71">
        <f t="shared" si="25"/>
        <v>0</v>
      </c>
      <c r="CW68" s="70">
        <f t="shared" si="25"/>
        <v>0</v>
      </c>
      <c r="CX68" s="71">
        <f t="shared" si="25"/>
        <v>11</v>
      </c>
      <c r="CY68" s="70">
        <f t="shared" si="25"/>
        <v>15500</v>
      </c>
      <c r="CZ68" s="73">
        <f t="shared" si="25"/>
        <v>13</v>
      </c>
      <c r="DA68" s="70">
        <f t="shared" si="25"/>
        <v>24260</v>
      </c>
      <c r="DB68" s="73">
        <f>DB21</f>
        <v>17</v>
      </c>
      <c r="DC68" s="70">
        <f>DC21</f>
        <v>28620</v>
      </c>
      <c r="DD68" s="73">
        <f>DD21</f>
        <v>23</v>
      </c>
      <c r="DE68" s="70">
        <f>DE21</f>
        <v>39212</v>
      </c>
      <c r="DF68" s="74">
        <f t="shared" ref="DF68:DG68" si="26">DF21</f>
        <v>64</v>
      </c>
      <c r="DG68" s="70">
        <f t="shared" si="26"/>
        <v>107592</v>
      </c>
      <c r="DH68" s="75">
        <f t="shared" ref="DH68:DH131" si="27">B68+CZ68+DB68+D68+F68+H68+J68+L68+N68+P68+R68+T68+V68+X68+Z68+AB68+AD68+AF68+AH68+AJ68+AL68+AN68+AP68+AR68+AT68+AV68+AX68+AZ68+BB68+BD68+BF68+BH68+BJ68+BL68+BN68+BP68+BR68+BT68+BV68+BX68+BZ68+CB68+CD68+CF68+CH68+CJ68+CL68+CP68+CR68+CT68+CV68+CX68+CN68+DD68</f>
        <v>478</v>
      </c>
      <c r="DI68" s="76">
        <f t="shared" ref="DI68:DI130" si="28">C68+DA68+DC68+E68+G68+I68+K68+M68+O68+Q68+S68+U68+W68+Y68+AA68+AC68+AE68+AG68+AI68+AK68+AM68+AO68+AQ68+AS68+AU68+AW68+AY68+BA68+BC68+BE68+BG68+BI68+BK68+BM68+BO68+BQ68+BS68+BU68+BW68+BY68+CA68+CC68+CE68+CG68+CI68+CK68+CM68+CQ68+CS68+CU68+CW68+CY68+CO68+DE68</f>
        <v>836166</v>
      </c>
      <c r="DJ68" s="77">
        <f>DH68+4878</f>
        <v>5356</v>
      </c>
      <c r="DK68" s="76">
        <f>DI68+7248957.19</f>
        <v>8085123.1900000004</v>
      </c>
      <c r="DL68" s="7"/>
      <c r="DM68" s="7"/>
      <c r="DN68" s="4"/>
    </row>
    <row r="69" spans="1:118" ht="14.25" customHeight="1" x14ac:dyDescent="0.3">
      <c r="A69" s="208" t="s">
        <v>191</v>
      </c>
      <c r="B69" s="208"/>
      <c r="C69" s="211"/>
      <c r="D69" s="210"/>
      <c r="E69" s="211"/>
      <c r="F69" s="212"/>
      <c r="G69" s="211"/>
      <c r="H69" s="212"/>
      <c r="I69" s="211"/>
      <c r="J69" s="212"/>
      <c r="K69" s="211"/>
      <c r="L69" s="212"/>
      <c r="M69" s="211"/>
      <c r="N69" s="212"/>
      <c r="O69" s="211"/>
      <c r="P69" s="212"/>
      <c r="Q69" s="211"/>
      <c r="R69" s="212"/>
      <c r="S69" s="211"/>
      <c r="T69" s="213"/>
      <c r="U69" s="218"/>
      <c r="V69" s="214"/>
      <c r="W69" s="211"/>
      <c r="X69" s="214"/>
      <c r="Y69" s="211"/>
      <c r="Z69" s="212"/>
      <c r="AA69" s="211"/>
      <c r="AB69" s="212"/>
      <c r="AC69" s="211"/>
      <c r="AD69" s="215"/>
      <c r="AE69" s="211"/>
      <c r="AF69" s="212"/>
      <c r="AG69" s="211"/>
      <c r="AH69" s="212"/>
      <c r="AI69" s="211"/>
      <c r="AJ69" s="212"/>
      <c r="AK69" s="211"/>
      <c r="AL69" s="212"/>
      <c r="AM69" s="211"/>
      <c r="AN69" s="212"/>
      <c r="AO69" s="211"/>
      <c r="AP69" s="212"/>
      <c r="AQ69" s="211"/>
      <c r="AR69" s="212"/>
      <c r="AS69" s="211"/>
      <c r="AT69" s="212"/>
      <c r="AU69" s="211"/>
      <c r="AV69" s="216"/>
      <c r="AW69" s="211"/>
      <c r="AX69" s="212"/>
      <c r="AY69" s="211"/>
      <c r="AZ69" s="212"/>
      <c r="BA69" s="211"/>
      <c r="BB69" s="212"/>
      <c r="BC69" s="211"/>
      <c r="BD69" s="212">
        <v>1</v>
      </c>
      <c r="BE69" s="211">
        <v>2500</v>
      </c>
      <c r="BF69" s="212"/>
      <c r="BG69" s="211"/>
      <c r="BH69" s="212"/>
      <c r="BI69" s="211"/>
      <c r="BJ69" s="212"/>
      <c r="BK69" s="211"/>
      <c r="BL69" s="212">
        <v>1</v>
      </c>
      <c r="BM69" s="211">
        <v>3000</v>
      </c>
      <c r="BN69" s="216"/>
      <c r="BO69" s="211"/>
      <c r="BP69" s="217"/>
      <c r="BQ69" s="211"/>
      <c r="BR69" s="216"/>
      <c r="BS69" s="211"/>
      <c r="BT69" s="212"/>
      <c r="BU69" s="209"/>
      <c r="BV69" s="212"/>
      <c r="BW69" s="211"/>
      <c r="BX69" s="215"/>
      <c r="BY69" s="211"/>
      <c r="BZ69" s="212"/>
      <c r="CA69" s="211"/>
      <c r="CB69" s="212"/>
      <c r="CC69" s="211"/>
      <c r="CD69" s="208"/>
      <c r="CE69" s="211"/>
      <c r="CF69" s="212"/>
      <c r="CG69" s="211"/>
      <c r="CH69" s="212"/>
      <c r="CI69" s="211"/>
      <c r="CJ69" s="212"/>
      <c r="CK69" s="211"/>
      <c r="CL69" s="215"/>
      <c r="CM69" s="211"/>
      <c r="CN69" s="220"/>
      <c r="CO69" s="209"/>
      <c r="CP69" s="220"/>
      <c r="CQ69" s="220"/>
      <c r="CR69" s="212"/>
      <c r="CS69" s="211"/>
      <c r="CT69" s="212"/>
      <c r="CU69" s="211"/>
      <c r="CV69" s="212"/>
      <c r="CW69" s="211"/>
      <c r="CX69" s="220"/>
      <c r="CY69" s="209"/>
      <c r="CZ69" s="208"/>
      <c r="DA69" s="211"/>
      <c r="DB69" s="221"/>
      <c r="DC69" s="222"/>
      <c r="DD69" s="221"/>
      <c r="DE69" s="222"/>
      <c r="DF69" s="223">
        <f t="shared" ref="DF69:DF132" si="29">CV69+CX69+CZ69+DB69+DD69</f>
        <v>0</v>
      </c>
      <c r="DG69" s="222">
        <f t="shared" ref="DG69:DG132" si="30">CW69+CY69+DA69+DC69+DE69</f>
        <v>0</v>
      </c>
      <c r="DH69" s="249">
        <f t="shared" si="27"/>
        <v>2</v>
      </c>
      <c r="DI69" s="222">
        <f t="shared" si="28"/>
        <v>5500</v>
      </c>
      <c r="DJ69" s="223">
        <f>DH69+15</f>
        <v>17</v>
      </c>
      <c r="DK69" s="222">
        <f>DI69+15699</f>
        <v>21199</v>
      </c>
      <c r="DL69" s="7"/>
      <c r="DM69" s="7"/>
      <c r="DN69" s="4"/>
    </row>
    <row r="70" spans="1:118" ht="26.4" hidden="1" x14ac:dyDescent="0.3">
      <c r="A70" s="259" t="s">
        <v>192</v>
      </c>
      <c r="B70" s="208"/>
      <c r="C70" s="211"/>
      <c r="D70" s="210"/>
      <c r="E70" s="211"/>
      <c r="F70" s="212"/>
      <c r="G70" s="211"/>
      <c r="H70" s="212"/>
      <c r="I70" s="211"/>
      <c r="J70" s="212"/>
      <c r="K70" s="211"/>
      <c r="L70" s="212"/>
      <c r="M70" s="211"/>
      <c r="N70" s="212"/>
      <c r="O70" s="211"/>
      <c r="P70" s="212"/>
      <c r="Q70" s="211"/>
      <c r="R70" s="212"/>
      <c r="S70" s="211"/>
      <c r="T70" s="213"/>
      <c r="U70" s="218"/>
      <c r="V70" s="214"/>
      <c r="W70" s="211"/>
      <c r="X70" s="214"/>
      <c r="Y70" s="211"/>
      <c r="Z70" s="212"/>
      <c r="AA70" s="211"/>
      <c r="AB70" s="212"/>
      <c r="AC70" s="211"/>
      <c r="AD70" s="215"/>
      <c r="AE70" s="211"/>
      <c r="AF70" s="212"/>
      <c r="AG70" s="211"/>
      <c r="AH70" s="212"/>
      <c r="AI70" s="211"/>
      <c r="AJ70" s="212"/>
      <c r="AK70" s="211"/>
      <c r="AL70" s="212"/>
      <c r="AM70" s="211"/>
      <c r="AN70" s="212"/>
      <c r="AO70" s="211"/>
      <c r="AP70" s="212"/>
      <c r="AQ70" s="211"/>
      <c r="AR70" s="212"/>
      <c r="AS70" s="211"/>
      <c r="AT70" s="212"/>
      <c r="AU70" s="211"/>
      <c r="AV70" s="216"/>
      <c r="AW70" s="211"/>
      <c r="AX70" s="212"/>
      <c r="AY70" s="211"/>
      <c r="AZ70" s="212"/>
      <c r="BA70" s="211"/>
      <c r="BB70" s="212"/>
      <c r="BC70" s="211"/>
      <c r="BD70" s="212"/>
      <c r="BE70" s="211"/>
      <c r="BF70" s="212"/>
      <c r="BG70" s="211"/>
      <c r="BH70" s="212"/>
      <c r="BI70" s="211"/>
      <c r="BJ70" s="212"/>
      <c r="BK70" s="211"/>
      <c r="BL70" s="212"/>
      <c r="BM70" s="211"/>
      <c r="BN70" s="216"/>
      <c r="BO70" s="211"/>
      <c r="BP70" s="217"/>
      <c r="BQ70" s="211"/>
      <c r="BR70" s="208"/>
      <c r="BS70" s="208"/>
      <c r="BT70" s="212"/>
      <c r="BU70" s="209"/>
      <c r="BV70" s="212"/>
      <c r="BW70" s="211"/>
      <c r="BX70" s="215"/>
      <c r="BY70" s="211"/>
      <c r="BZ70" s="212"/>
      <c r="CA70" s="211"/>
      <c r="CB70" s="212"/>
      <c r="CC70" s="211"/>
      <c r="CD70" s="208"/>
      <c r="CE70" s="211"/>
      <c r="CF70" s="212"/>
      <c r="CG70" s="211"/>
      <c r="CH70" s="212"/>
      <c r="CI70" s="211"/>
      <c r="CJ70" s="212"/>
      <c r="CK70" s="211"/>
      <c r="CL70" s="215"/>
      <c r="CM70" s="211"/>
      <c r="CN70" s="220"/>
      <c r="CO70" s="209"/>
      <c r="CP70" s="220"/>
      <c r="CQ70" s="220"/>
      <c r="CR70" s="212"/>
      <c r="CS70" s="211"/>
      <c r="CT70" s="212"/>
      <c r="CU70" s="211"/>
      <c r="CV70" s="212"/>
      <c r="CW70" s="211"/>
      <c r="CX70" s="220"/>
      <c r="CY70" s="209"/>
      <c r="CZ70" s="208"/>
      <c r="DA70" s="211"/>
      <c r="DB70" s="221"/>
      <c r="DC70" s="222"/>
      <c r="DD70" s="221"/>
      <c r="DE70" s="222"/>
      <c r="DF70" s="223">
        <f t="shared" si="29"/>
        <v>0</v>
      </c>
      <c r="DG70" s="222">
        <f t="shared" si="30"/>
        <v>0</v>
      </c>
      <c r="DH70" s="249">
        <f t="shared" si="27"/>
        <v>0</v>
      </c>
      <c r="DI70" s="222">
        <f t="shared" si="28"/>
        <v>0</v>
      </c>
      <c r="DJ70" s="223"/>
      <c r="DK70" s="222"/>
      <c r="DL70" s="7"/>
      <c r="DM70" s="7"/>
      <c r="DN70" s="4"/>
    </row>
    <row r="71" spans="1:118" ht="15" customHeight="1" x14ac:dyDescent="0.3">
      <c r="A71" s="208" t="s">
        <v>193</v>
      </c>
      <c r="B71" s="208"/>
      <c r="C71" s="211"/>
      <c r="D71" s="210"/>
      <c r="E71" s="211"/>
      <c r="F71" s="212"/>
      <c r="G71" s="211"/>
      <c r="H71" s="212"/>
      <c r="I71" s="211"/>
      <c r="J71" s="212"/>
      <c r="K71" s="211"/>
      <c r="L71" s="212"/>
      <c r="M71" s="211"/>
      <c r="N71" s="212"/>
      <c r="O71" s="211"/>
      <c r="P71" s="212"/>
      <c r="Q71" s="211"/>
      <c r="R71" s="212"/>
      <c r="S71" s="211"/>
      <c r="T71" s="213"/>
      <c r="U71" s="218"/>
      <c r="V71" s="214"/>
      <c r="W71" s="211"/>
      <c r="X71" s="214"/>
      <c r="Y71" s="211"/>
      <c r="Z71" s="212"/>
      <c r="AA71" s="211"/>
      <c r="AB71" s="212"/>
      <c r="AC71" s="211"/>
      <c r="AD71" s="215"/>
      <c r="AE71" s="211"/>
      <c r="AF71" s="212"/>
      <c r="AG71" s="211"/>
      <c r="AH71" s="212"/>
      <c r="AI71" s="211"/>
      <c r="AJ71" s="212"/>
      <c r="AK71" s="211"/>
      <c r="AL71" s="212"/>
      <c r="AM71" s="211"/>
      <c r="AN71" s="212"/>
      <c r="AO71" s="211"/>
      <c r="AP71" s="212"/>
      <c r="AQ71" s="211"/>
      <c r="AR71" s="212"/>
      <c r="AS71" s="211"/>
      <c r="AT71" s="212"/>
      <c r="AU71" s="211"/>
      <c r="AV71" s="216"/>
      <c r="AW71" s="211"/>
      <c r="AX71" s="212"/>
      <c r="AY71" s="211"/>
      <c r="AZ71" s="212"/>
      <c r="BA71" s="211"/>
      <c r="BB71" s="212"/>
      <c r="BC71" s="211"/>
      <c r="BD71" s="212"/>
      <c r="BE71" s="211"/>
      <c r="BF71" s="212"/>
      <c r="BG71" s="211"/>
      <c r="BH71" s="212"/>
      <c r="BI71" s="211"/>
      <c r="BJ71" s="212"/>
      <c r="BK71" s="211"/>
      <c r="BL71" s="212"/>
      <c r="BM71" s="211"/>
      <c r="BN71" s="216"/>
      <c r="BO71" s="211"/>
      <c r="BP71" s="217"/>
      <c r="BQ71" s="211"/>
      <c r="BR71" s="208"/>
      <c r="BS71" s="208"/>
      <c r="BT71" s="212"/>
      <c r="BU71" s="209"/>
      <c r="BV71" s="212"/>
      <c r="BW71" s="211"/>
      <c r="BX71" s="215"/>
      <c r="BY71" s="211"/>
      <c r="BZ71" s="212"/>
      <c r="CA71" s="211"/>
      <c r="CB71" s="212"/>
      <c r="CC71" s="211"/>
      <c r="CD71" s="208"/>
      <c r="CE71" s="211"/>
      <c r="CF71" s="212"/>
      <c r="CG71" s="211"/>
      <c r="CH71" s="212"/>
      <c r="CI71" s="211"/>
      <c r="CJ71" s="212"/>
      <c r="CK71" s="211"/>
      <c r="CL71" s="215"/>
      <c r="CM71" s="211"/>
      <c r="CN71" s="220"/>
      <c r="CO71" s="209"/>
      <c r="CP71" s="220"/>
      <c r="CQ71" s="220"/>
      <c r="CR71" s="212"/>
      <c r="CS71" s="211"/>
      <c r="CT71" s="212"/>
      <c r="CU71" s="211"/>
      <c r="CV71" s="212"/>
      <c r="CW71" s="211"/>
      <c r="CX71" s="220"/>
      <c r="CY71" s="209"/>
      <c r="CZ71" s="208"/>
      <c r="DA71" s="211"/>
      <c r="DB71" s="221"/>
      <c r="DC71" s="222"/>
      <c r="DD71" s="221"/>
      <c r="DE71" s="222"/>
      <c r="DF71" s="223">
        <f t="shared" si="29"/>
        <v>0</v>
      </c>
      <c r="DG71" s="222">
        <f t="shared" si="30"/>
        <v>0</v>
      </c>
      <c r="DH71" s="249">
        <f t="shared" si="27"/>
        <v>0</v>
      </c>
      <c r="DI71" s="222">
        <f t="shared" si="28"/>
        <v>0</v>
      </c>
      <c r="DJ71" s="223">
        <f>DH71+34</f>
        <v>34</v>
      </c>
      <c r="DK71" s="222">
        <f>DI71+62689</f>
        <v>62689</v>
      </c>
      <c r="DL71" s="7"/>
      <c r="DM71" s="7"/>
      <c r="DN71" s="4"/>
    </row>
    <row r="72" spans="1:118" s="260" customFormat="1" hidden="1" x14ac:dyDescent="0.3">
      <c r="A72" s="261"/>
      <c r="B72" s="208"/>
      <c r="C72" s="262"/>
      <c r="D72" s="263"/>
      <c r="E72" s="262"/>
      <c r="F72" s="264"/>
      <c r="G72" s="262"/>
      <c r="H72" s="264"/>
      <c r="I72" s="262"/>
      <c r="J72" s="264"/>
      <c r="K72" s="262"/>
      <c r="L72" s="264"/>
      <c r="M72" s="262"/>
      <c r="N72" s="264"/>
      <c r="O72" s="262"/>
      <c r="P72" s="264"/>
      <c r="Q72" s="262"/>
      <c r="R72" s="264"/>
      <c r="S72" s="262"/>
      <c r="T72" s="265"/>
      <c r="U72" s="266"/>
      <c r="V72" s="267"/>
      <c r="W72" s="262"/>
      <c r="X72" s="267"/>
      <c r="Y72" s="262"/>
      <c r="Z72" s="264"/>
      <c r="AA72" s="262"/>
      <c r="AB72" s="264"/>
      <c r="AC72" s="262"/>
      <c r="AD72" s="268"/>
      <c r="AE72" s="262"/>
      <c r="AF72" s="264"/>
      <c r="AG72" s="262"/>
      <c r="AH72" s="264"/>
      <c r="AI72" s="262"/>
      <c r="AJ72" s="264"/>
      <c r="AK72" s="262"/>
      <c r="AL72" s="264"/>
      <c r="AM72" s="262"/>
      <c r="AN72" s="264"/>
      <c r="AO72" s="262"/>
      <c r="AP72" s="264"/>
      <c r="AQ72" s="262"/>
      <c r="AR72" s="264"/>
      <c r="AS72" s="262"/>
      <c r="AT72" s="264"/>
      <c r="AU72" s="262"/>
      <c r="AV72" s="269"/>
      <c r="AW72" s="262"/>
      <c r="AX72" s="264"/>
      <c r="AY72" s="262"/>
      <c r="AZ72" s="264"/>
      <c r="BA72" s="262"/>
      <c r="BB72" s="264"/>
      <c r="BC72" s="262"/>
      <c r="BD72" s="264"/>
      <c r="BE72" s="262"/>
      <c r="BF72" s="264"/>
      <c r="BG72" s="262"/>
      <c r="BH72" s="264"/>
      <c r="BI72" s="262"/>
      <c r="BJ72" s="264"/>
      <c r="BK72" s="262"/>
      <c r="BL72" s="264"/>
      <c r="BM72" s="262"/>
      <c r="BN72" s="269"/>
      <c r="BO72" s="262"/>
      <c r="BP72" s="270"/>
      <c r="BQ72" s="262"/>
      <c r="BR72" s="261"/>
      <c r="BS72" s="261"/>
      <c r="BT72" s="264"/>
      <c r="BU72" s="271"/>
      <c r="BV72" s="264"/>
      <c r="BW72" s="262"/>
      <c r="BX72" s="268"/>
      <c r="BY72" s="262"/>
      <c r="BZ72" s="264"/>
      <c r="CA72" s="262"/>
      <c r="CB72" s="264"/>
      <c r="CC72" s="262"/>
      <c r="CD72" s="261"/>
      <c r="CE72" s="262"/>
      <c r="CF72" s="264"/>
      <c r="CG72" s="262"/>
      <c r="CH72" s="264"/>
      <c r="CI72" s="262"/>
      <c r="CJ72" s="264"/>
      <c r="CK72" s="262"/>
      <c r="CL72" s="268"/>
      <c r="CM72" s="262"/>
      <c r="CN72" s="272"/>
      <c r="CO72" s="271"/>
      <c r="CP72" s="272"/>
      <c r="CQ72" s="272"/>
      <c r="CR72" s="264"/>
      <c r="CS72" s="262"/>
      <c r="CT72" s="264"/>
      <c r="CU72" s="262"/>
      <c r="CV72" s="212"/>
      <c r="CW72" s="211"/>
      <c r="CX72" s="272"/>
      <c r="CY72" s="271"/>
      <c r="CZ72" s="261"/>
      <c r="DA72" s="262"/>
      <c r="DB72" s="273"/>
      <c r="DC72" s="274"/>
      <c r="DD72" s="273"/>
      <c r="DE72" s="274"/>
      <c r="DF72" s="223">
        <f t="shared" si="29"/>
        <v>0</v>
      </c>
      <c r="DG72" s="222">
        <f t="shared" si="30"/>
        <v>0</v>
      </c>
      <c r="DH72" s="249">
        <f t="shared" si="27"/>
        <v>0</v>
      </c>
      <c r="DI72" s="222">
        <f t="shared" si="28"/>
        <v>0</v>
      </c>
      <c r="DJ72" s="275"/>
      <c r="DK72" s="274"/>
      <c r="DL72" s="276"/>
      <c r="DM72" s="276"/>
      <c r="DN72" s="277"/>
    </row>
    <row r="73" spans="1:118" ht="15" customHeight="1" x14ac:dyDescent="0.3">
      <c r="A73" s="208" t="s">
        <v>194</v>
      </c>
      <c r="B73" s="208"/>
      <c r="C73" s="211"/>
      <c r="D73" s="210"/>
      <c r="E73" s="211"/>
      <c r="F73" s="212"/>
      <c r="G73" s="211"/>
      <c r="H73" s="212"/>
      <c r="I73" s="211"/>
      <c r="J73" s="212"/>
      <c r="K73" s="211"/>
      <c r="L73" s="212"/>
      <c r="M73" s="211"/>
      <c r="N73" s="212"/>
      <c r="O73" s="211"/>
      <c r="P73" s="212"/>
      <c r="Q73" s="211"/>
      <c r="R73" s="212"/>
      <c r="S73" s="211"/>
      <c r="T73" s="213"/>
      <c r="U73" s="218"/>
      <c r="V73" s="214"/>
      <c r="W73" s="211"/>
      <c r="X73" s="214"/>
      <c r="Y73" s="211"/>
      <c r="Z73" s="212"/>
      <c r="AA73" s="211"/>
      <c r="AB73" s="212"/>
      <c r="AC73" s="211"/>
      <c r="AD73" s="215"/>
      <c r="AE73" s="211"/>
      <c r="AF73" s="212"/>
      <c r="AG73" s="211"/>
      <c r="AH73" s="212"/>
      <c r="AI73" s="211"/>
      <c r="AJ73" s="212"/>
      <c r="AK73" s="211"/>
      <c r="AL73" s="212"/>
      <c r="AM73" s="211"/>
      <c r="AN73" s="212"/>
      <c r="AO73" s="211"/>
      <c r="AP73" s="212">
        <v>1</v>
      </c>
      <c r="AQ73" s="211">
        <v>2000</v>
      </c>
      <c r="AR73" s="212"/>
      <c r="AS73" s="211"/>
      <c r="AT73" s="212"/>
      <c r="AU73" s="211"/>
      <c r="AV73" s="216"/>
      <c r="AW73" s="211"/>
      <c r="AX73" s="212">
        <v>1</v>
      </c>
      <c r="AY73" s="211">
        <v>1500</v>
      </c>
      <c r="AZ73" s="212"/>
      <c r="BA73" s="211"/>
      <c r="BB73" s="212">
        <v>1</v>
      </c>
      <c r="BC73" s="211">
        <v>3000</v>
      </c>
      <c r="BD73" s="212"/>
      <c r="BE73" s="211"/>
      <c r="BF73" s="212"/>
      <c r="BG73" s="211"/>
      <c r="BH73" s="212"/>
      <c r="BI73" s="211"/>
      <c r="BJ73" s="212"/>
      <c r="BK73" s="211"/>
      <c r="BL73" s="212"/>
      <c r="BM73" s="211"/>
      <c r="BN73" s="216"/>
      <c r="BO73" s="211"/>
      <c r="BP73" s="217"/>
      <c r="BQ73" s="211"/>
      <c r="BR73" s="208"/>
      <c r="BS73" s="208"/>
      <c r="BT73" s="212"/>
      <c r="BU73" s="209"/>
      <c r="BV73" s="212"/>
      <c r="BW73" s="211"/>
      <c r="BX73" s="215"/>
      <c r="BY73" s="211"/>
      <c r="BZ73" s="212"/>
      <c r="CA73" s="211"/>
      <c r="CB73" s="212"/>
      <c r="CC73" s="211"/>
      <c r="CD73" s="208"/>
      <c r="CE73" s="211"/>
      <c r="CF73" s="212"/>
      <c r="CG73" s="211"/>
      <c r="CH73" s="212"/>
      <c r="CI73" s="211"/>
      <c r="CJ73" s="212"/>
      <c r="CK73" s="211"/>
      <c r="CL73" s="215"/>
      <c r="CM73" s="211"/>
      <c r="CN73" s="220"/>
      <c r="CO73" s="209"/>
      <c r="CP73" s="220"/>
      <c r="CQ73" s="220"/>
      <c r="CR73" s="212">
        <v>1</v>
      </c>
      <c r="CS73" s="211">
        <v>900</v>
      </c>
      <c r="CT73" s="212"/>
      <c r="CU73" s="211"/>
      <c r="CV73" s="212"/>
      <c r="CW73" s="211"/>
      <c r="CX73" s="220"/>
      <c r="CY73" s="209"/>
      <c r="CZ73" s="208">
        <v>1</v>
      </c>
      <c r="DA73" s="211">
        <v>1690</v>
      </c>
      <c r="DB73" s="221"/>
      <c r="DC73" s="222"/>
      <c r="DD73" s="221"/>
      <c r="DE73" s="222"/>
      <c r="DF73" s="223">
        <f t="shared" si="29"/>
        <v>1</v>
      </c>
      <c r="DG73" s="222">
        <f t="shared" si="30"/>
        <v>1690</v>
      </c>
      <c r="DH73" s="249">
        <f t="shared" si="27"/>
        <v>5</v>
      </c>
      <c r="DI73" s="222">
        <f t="shared" si="28"/>
        <v>9090</v>
      </c>
      <c r="DJ73" s="223">
        <f>DH73+43</f>
        <v>48</v>
      </c>
      <c r="DK73" s="222">
        <f>DI73+59930</f>
        <v>69020</v>
      </c>
      <c r="DL73" s="7"/>
      <c r="DM73" s="7"/>
      <c r="DN73" s="4"/>
    </row>
    <row r="74" spans="1:118" ht="62.4" hidden="1" x14ac:dyDescent="0.3">
      <c r="A74" s="208" t="s">
        <v>195</v>
      </c>
      <c r="B74" s="208"/>
      <c r="C74" s="211"/>
      <c r="D74" s="210"/>
      <c r="E74" s="211"/>
      <c r="F74" s="212"/>
      <c r="G74" s="211"/>
      <c r="H74" s="212"/>
      <c r="I74" s="211"/>
      <c r="J74" s="212"/>
      <c r="K74" s="211"/>
      <c r="L74" s="212"/>
      <c r="M74" s="211"/>
      <c r="N74" s="212"/>
      <c r="O74" s="211"/>
      <c r="P74" s="212"/>
      <c r="Q74" s="211"/>
      <c r="R74" s="212"/>
      <c r="S74" s="211"/>
      <c r="T74" s="213"/>
      <c r="U74" s="218"/>
      <c r="V74" s="214"/>
      <c r="W74" s="211"/>
      <c r="X74" s="214"/>
      <c r="Y74" s="211"/>
      <c r="Z74" s="212"/>
      <c r="AA74" s="211"/>
      <c r="AB74" s="212"/>
      <c r="AC74" s="211"/>
      <c r="AD74" s="215"/>
      <c r="AE74" s="211"/>
      <c r="AF74" s="212"/>
      <c r="AG74" s="211"/>
      <c r="AH74" s="212"/>
      <c r="AI74" s="211"/>
      <c r="AJ74" s="212"/>
      <c r="AK74" s="211"/>
      <c r="AL74" s="212"/>
      <c r="AM74" s="211"/>
      <c r="AN74" s="212"/>
      <c r="AO74" s="211"/>
      <c r="AP74" s="212"/>
      <c r="AQ74" s="211"/>
      <c r="AR74" s="212"/>
      <c r="AS74" s="211"/>
      <c r="AT74" s="212"/>
      <c r="AU74" s="211"/>
      <c r="AV74" s="216"/>
      <c r="AW74" s="211"/>
      <c r="AX74" s="212"/>
      <c r="AY74" s="211"/>
      <c r="AZ74" s="212"/>
      <c r="BA74" s="211"/>
      <c r="BB74" s="212"/>
      <c r="BC74" s="211"/>
      <c r="BD74" s="212"/>
      <c r="BE74" s="211"/>
      <c r="BF74" s="212"/>
      <c r="BG74" s="211"/>
      <c r="BH74" s="212"/>
      <c r="BI74" s="211"/>
      <c r="BJ74" s="212"/>
      <c r="BK74" s="211"/>
      <c r="BL74" s="212"/>
      <c r="BM74" s="211"/>
      <c r="BN74" s="216"/>
      <c r="BO74" s="211"/>
      <c r="BP74" s="217"/>
      <c r="BQ74" s="211"/>
      <c r="BR74" s="208"/>
      <c r="BS74" s="208"/>
      <c r="BT74" s="212"/>
      <c r="BU74" s="209"/>
      <c r="BV74" s="212"/>
      <c r="BW74" s="211"/>
      <c r="BX74" s="215"/>
      <c r="BY74" s="211"/>
      <c r="BZ74" s="212"/>
      <c r="CA74" s="211"/>
      <c r="CB74" s="212"/>
      <c r="CC74" s="211"/>
      <c r="CD74" s="208"/>
      <c r="CE74" s="211"/>
      <c r="CF74" s="212"/>
      <c r="CG74" s="211"/>
      <c r="CH74" s="212"/>
      <c r="CI74" s="211"/>
      <c r="CJ74" s="212"/>
      <c r="CK74" s="211"/>
      <c r="CL74" s="215"/>
      <c r="CM74" s="211"/>
      <c r="CN74" s="220"/>
      <c r="CO74" s="209"/>
      <c r="CP74" s="220"/>
      <c r="CQ74" s="220"/>
      <c r="CR74" s="212"/>
      <c r="CS74" s="211"/>
      <c r="CT74" s="212"/>
      <c r="CU74" s="211"/>
      <c r="CV74" s="212"/>
      <c r="CW74" s="211"/>
      <c r="CX74" s="220"/>
      <c r="CY74" s="209"/>
      <c r="CZ74" s="208"/>
      <c r="DA74" s="211"/>
      <c r="DB74" s="221"/>
      <c r="DC74" s="222"/>
      <c r="DD74" s="221"/>
      <c r="DE74" s="222"/>
      <c r="DF74" s="223">
        <f t="shared" si="29"/>
        <v>0</v>
      </c>
      <c r="DG74" s="222">
        <f t="shared" si="30"/>
        <v>0</v>
      </c>
      <c r="DH74" s="249">
        <f t="shared" si="27"/>
        <v>0</v>
      </c>
      <c r="DI74" s="222">
        <f t="shared" si="28"/>
        <v>0</v>
      </c>
      <c r="DJ74" s="223"/>
      <c r="DK74" s="222"/>
      <c r="DL74" s="7"/>
      <c r="DM74" s="7"/>
      <c r="DN74" s="4"/>
    </row>
    <row r="75" spans="1:118" ht="15.75" customHeight="1" x14ac:dyDescent="0.3">
      <c r="A75" s="208" t="s">
        <v>196</v>
      </c>
      <c r="B75" s="208"/>
      <c r="C75" s="211"/>
      <c r="D75" s="210"/>
      <c r="E75" s="211"/>
      <c r="F75" s="212"/>
      <c r="G75" s="211"/>
      <c r="H75" s="212"/>
      <c r="I75" s="211"/>
      <c r="J75" s="212"/>
      <c r="K75" s="211"/>
      <c r="L75" s="212"/>
      <c r="M75" s="211"/>
      <c r="N75" s="212">
        <v>1</v>
      </c>
      <c r="O75" s="211">
        <v>3000</v>
      </c>
      <c r="P75" s="212"/>
      <c r="Q75" s="211"/>
      <c r="R75" s="212"/>
      <c r="S75" s="211"/>
      <c r="T75" s="213"/>
      <c r="U75" s="218"/>
      <c r="V75" s="214"/>
      <c r="W75" s="211"/>
      <c r="X75" s="214"/>
      <c r="Y75" s="211"/>
      <c r="Z75" s="212"/>
      <c r="AA75" s="211"/>
      <c r="AB75" s="212"/>
      <c r="AC75" s="211"/>
      <c r="AD75" s="215"/>
      <c r="AE75" s="211"/>
      <c r="AF75" s="212"/>
      <c r="AG75" s="211"/>
      <c r="AH75" s="212"/>
      <c r="AI75" s="211"/>
      <c r="AJ75" s="212"/>
      <c r="AK75" s="211"/>
      <c r="AL75" s="212"/>
      <c r="AM75" s="211"/>
      <c r="AN75" s="212"/>
      <c r="AO75" s="211"/>
      <c r="AP75" s="212"/>
      <c r="AQ75" s="211"/>
      <c r="AR75" s="212"/>
      <c r="AS75" s="211"/>
      <c r="AT75" s="212"/>
      <c r="AU75" s="211"/>
      <c r="AV75" s="216"/>
      <c r="AW75" s="211"/>
      <c r="AX75" s="212"/>
      <c r="AY75" s="211"/>
      <c r="AZ75" s="212"/>
      <c r="BA75" s="211"/>
      <c r="BB75" s="212"/>
      <c r="BC75" s="211"/>
      <c r="BD75" s="212"/>
      <c r="BE75" s="211"/>
      <c r="BF75" s="212"/>
      <c r="BG75" s="211"/>
      <c r="BH75" s="212"/>
      <c r="BI75" s="211"/>
      <c r="BJ75" s="212"/>
      <c r="BK75" s="211"/>
      <c r="BL75" s="212"/>
      <c r="BM75" s="211"/>
      <c r="BN75" s="216"/>
      <c r="BO75" s="211"/>
      <c r="BP75" s="217"/>
      <c r="BQ75" s="211"/>
      <c r="BR75" s="208"/>
      <c r="BS75" s="208"/>
      <c r="BT75" s="212"/>
      <c r="BU75" s="209"/>
      <c r="BV75" s="212"/>
      <c r="BW75" s="211"/>
      <c r="BX75" s="215"/>
      <c r="BY75" s="211"/>
      <c r="BZ75" s="212"/>
      <c r="CA75" s="211"/>
      <c r="CB75" s="212"/>
      <c r="CC75" s="211"/>
      <c r="CD75" s="208"/>
      <c r="CE75" s="211"/>
      <c r="CF75" s="212"/>
      <c r="CG75" s="211"/>
      <c r="CH75" s="212"/>
      <c r="CI75" s="211"/>
      <c r="CJ75" s="212"/>
      <c r="CK75" s="211"/>
      <c r="CL75" s="215"/>
      <c r="CM75" s="211"/>
      <c r="CN75" s="220"/>
      <c r="CO75" s="209"/>
      <c r="CP75" s="220"/>
      <c r="CQ75" s="220"/>
      <c r="CR75" s="212"/>
      <c r="CS75" s="211"/>
      <c r="CT75" s="212"/>
      <c r="CU75" s="211"/>
      <c r="CV75" s="212"/>
      <c r="CW75" s="211"/>
      <c r="CX75" s="220"/>
      <c r="CY75" s="209"/>
      <c r="CZ75" s="208"/>
      <c r="DA75" s="211"/>
      <c r="DB75" s="221"/>
      <c r="DC75" s="222"/>
      <c r="DD75" s="221"/>
      <c r="DE75" s="222"/>
      <c r="DF75" s="223">
        <f t="shared" si="29"/>
        <v>0</v>
      </c>
      <c r="DG75" s="222">
        <f t="shared" si="30"/>
        <v>0</v>
      </c>
      <c r="DH75" s="249">
        <f t="shared" si="27"/>
        <v>1</v>
      </c>
      <c r="DI75" s="222">
        <f t="shared" si="28"/>
        <v>3000</v>
      </c>
      <c r="DJ75" s="223">
        <f>DH75+41</f>
        <v>42</v>
      </c>
      <c r="DK75" s="222">
        <f>DI75+74905</f>
        <v>77905</v>
      </c>
      <c r="DL75" s="7"/>
      <c r="DM75" s="7"/>
      <c r="DN75" s="4"/>
    </row>
    <row r="76" spans="1:118" ht="45.75" hidden="1" customHeight="1" x14ac:dyDescent="0.3">
      <c r="A76" s="208" t="s">
        <v>197</v>
      </c>
      <c r="B76" s="208"/>
      <c r="C76" s="211"/>
      <c r="D76" s="210"/>
      <c r="E76" s="211"/>
      <c r="F76" s="212"/>
      <c r="G76" s="211"/>
      <c r="H76" s="212"/>
      <c r="I76" s="211"/>
      <c r="J76" s="212"/>
      <c r="K76" s="211"/>
      <c r="L76" s="212"/>
      <c r="M76" s="211"/>
      <c r="N76" s="212"/>
      <c r="O76" s="211"/>
      <c r="P76" s="212"/>
      <c r="Q76" s="211"/>
      <c r="R76" s="212"/>
      <c r="S76" s="211"/>
      <c r="T76" s="213"/>
      <c r="U76" s="218"/>
      <c r="V76" s="214"/>
      <c r="W76" s="211"/>
      <c r="X76" s="214"/>
      <c r="Y76" s="211"/>
      <c r="Z76" s="212"/>
      <c r="AA76" s="211"/>
      <c r="AB76" s="212"/>
      <c r="AC76" s="211"/>
      <c r="AD76" s="215"/>
      <c r="AE76" s="211"/>
      <c r="AF76" s="212"/>
      <c r="AG76" s="211"/>
      <c r="AH76" s="212"/>
      <c r="AI76" s="211"/>
      <c r="AJ76" s="212"/>
      <c r="AK76" s="211"/>
      <c r="AL76" s="212"/>
      <c r="AM76" s="211"/>
      <c r="AN76" s="212"/>
      <c r="AO76" s="211"/>
      <c r="AP76" s="212"/>
      <c r="AQ76" s="211"/>
      <c r="AR76" s="212"/>
      <c r="AS76" s="211"/>
      <c r="AT76" s="212"/>
      <c r="AU76" s="211"/>
      <c r="AV76" s="216"/>
      <c r="AW76" s="211"/>
      <c r="AX76" s="212"/>
      <c r="AY76" s="211"/>
      <c r="AZ76" s="212"/>
      <c r="BA76" s="211"/>
      <c r="BB76" s="212"/>
      <c r="BC76" s="211"/>
      <c r="BD76" s="212"/>
      <c r="BE76" s="211"/>
      <c r="BF76" s="212"/>
      <c r="BG76" s="211"/>
      <c r="BH76" s="212"/>
      <c r="BI76" s="211"/>
      <c r="BJ76" s="212"/>
      <c r="BK76" s="211"/>
      <c r="BL76" s="212"/>
      <c r="BM76" s="211"/>
      <c r="BN76" s="216"/>
      <c r="BO76" s="211"/>
      <c r="BP76" s="217"/>
      <c r="BQ76" s="211"/>
      <c r="BR76" s="208"/>
      <c r="BS76" s="208"/>
      <c r="BT76" s="212"/>
      <c r="BU76" s="209"/>
      <c r="BV76" s="212"/>
      <c r="BW76" s="211"/>
      <c r="BX76" s="215"/>
      <c r="BY76" s="211"/>
      <c r="BZ76" s="212"/>
      <c r="CA76" s="211"/>
      <c r="CB76" s="212"/>
      <c r="CC76" s="211"/>
      <c r="CD76" s="208"/>
      <c r="CE76" s="211"/>
      <c r="CF76" s="212"/>
      <c r="CG76" s="211"/>
      <c r="CH76" s="212"/>
      <c r="CI76" s="211"/>
      <c r="CJ76" s="212"/>
      <c r="CK76" s="211"/>
      <c r="CL76" s="215"/>
      <c r="CM76" s="211"/>
      <c r="CN76" s="220"/>
      <c r="CO76" s="209"/>
      <c r="CP76" s="220"/>
      <c r="CQ76" s="220"/>
      <c r="CR76" s="212"/>
      <c r="CS76" s="211"/>
      <c r="CT76" s="212"/>
      <c r="CU76" s="211"/>
      <c r="CV76" s="212"/>
      <c r="CW76" s="211"/>
      <c r="CX76" s="220"/>
      <c r="CY76" s="209"/>
      <c r="CZ76" s="208"/>
      <c r="DA76" s="211"/>
      <c r="DB76" s="221"/>
      <c r="DC76" s="222"/>
      <c r="DD76" s="221"/>
      <c r="DE76" s="222"/>
      <c r="DF76" s="223">
        <f t="shared" si="29"/>
        <v>0</v>
      </c>
      <c r="DG76" s="222">
        <f t="shared" si="30"/>
        <v>0</v>
      </c>
      <c r="DH76" s="249">
        <f t="shared" si="27"/>
        <v>0</v>
      </c>
      <c r="DI76" s="222">
        <f t="shared" si="28"/>
        <v>0</v>
      </c>
      <c r="DJ76" s="223"/>
      <c r="DK76" s="222"/>
      <c r="DL76" s="7"/>
      <c r="DM76" s="7"/>
      <c r="DN76" s="4"/>
    </row>
    <row r="77" spans="1:118" ht="15.75" customHeight="1" x14ac:dyDescent="0.3">
      <c r="A77" s="208" t="s">
        <v>198</v>
      </c>
      <c r="B77" s="208"/>
      <c r="C77" s="211"/>
      <c r="D77" s="210"/>
      <c r="E77" s="211"/>
      <c r="F77" s="212"/>
      <c r="G77" s="211"/>
      <c r="H77" s="212"/>
      <c r="I77" s="211"/>
      <c r="J77" s="212"/>
      <c r="K77" s="211"/>
      <c r="L77" s="212"/>
      <c r="M77" s="211"/>
      <c r="N77" s="212"/>
      <c r="O77" s="211"/>
      <c r="P77" s="212"/>
      <c r="Q77" s="211"/>
      <c r="R77" s="212"/>
      <c r="S77" s="211"/>
      <c r="T77" s="213"/>
      <c r="U77" s="218"/>
      <c r="V77" s="214"/>
      <c r="W77" s="211"/>
      <c r="X77" s="214"/>
      <c r="Y77" s="211"/>
      <c r="Z77" s="212"/>
      <c r="AA77" s="211"/>
      <c r="AB77" s="212"/>
      <c r="AC77" s="211"/>
      <c r="AD77" s="215"/>
      <c r="AE77" s="211"/>
      <c r="AF77" s="212"/>
      <c r="AG77" s="211"/>
      <c r="AH77" s="212"/>
      <c r="AI77" s="211"/>
      <c r="AJ77" s="212"/>
      <c r="AK77" s="211"/>
      <c r="AL77" s="212"/>
      <c r="AM77" s="211"/>
      <c r="AN77" s="212"/>
      <c r="AO77" s="211"/>
      <c r="AP77" s="212"/>
      <c r="AQ77" s="211"/>
      <c r="AR77" s="212"/>
      <c r="AS77" s="211"/>
      <c r="AT77" s="212"/>
      <c r="AU77" s="211"/>
      <c r="AV77" s="216"/>
      <c r="AW77" s="211"/>
      <c r="AX77" s="212"/>
      <c r="AY77" s="211"/>
      <c r="AZ77" s="212"/>
      <c r="BA77" s="211"/>
      <c r="BB77" s="212"/>
      <c r="BC77" s="211"/>
      <c r="BD77" s="212"/>
      <c r="BE77" s="211"/>
      <c r="BF77" s="212"/>
      <c r="BG77" s="211"/>
      <c r="BH77" s="212"/>
      <c r="BI77" s="211"/>
      <c r="BJ77" s="212"/>
      <c r="BK77" s="211"/>
      <c r="BL77" s="212"/>
      <c r="BM77" s="211"/>
      <c r="BN77" s="216"/>
      <c r="BO77" s="211"/>
      <c r="BP77" s="217"/>
      <c r="BQ77" s="211"/>
      <c r="BR77" s="208"/>
      <c r="BS77" s="208"/>
      <c r="BT77" s="212"/>
      <c r="BU77" s="209"/>
      <c r="BV77" s="212"/>
      <c r="BW77" s="211"/>
      <c r="BX77" s="215"/>
      <c r="BY77" s="211"/>
      <c r="BZ77" s="212"/>
      <c r="CA77" s="211"/>
      <c r="CB77" s="212"/>
      <c r="CC77" s="211"/>
      <c r="CD77" s="208"/>
      <c r="CE77" s="211"/>
      <c r="CF77" s="212"/>
      <c r="CG77" s="211"/>
      <c r="CH77" s="212"/>
      <c r="CI77" s="211"/>
      <c r="CJ77" s="212"/>
      <c r="CK77" s="211"/>
      <c r="CL77" s="215"/>
      <c r="CM77" s="211"/>
      <c r="CN77" s="220"/>
      <c r="CO77" s="209"/>
      <c r="CP77" s="220"/>
      <c r="CQ77" s="220"/>
      <c r="CR77" s="212"/>
      <c r="CS77" s="211"/>
      <c r="CT77" s="212"/>
      <c r="CU77" s="211"/>
      <c r="CV77" s="212"/>
      <c r="CW77" s="211"/>
      <c r="CX77" s="220"/>
      <c r="CY77" s="209"/>
      <c r="CZ77" s="208"/>
      <c r="DA77" s="211"/>
      <c r="DB77" s="221"/>
      <c r="DC77" s="222"/>
      <c r="DD77" s="221"/>
      <c r="DE77" s="222"/>
      <c r="DF77" s="223">
        <f t="shared" si="29"/>
        <v>0</v>
      </c>
      <c r="DG77" s="222">
        <f t="shared" si="30"/>
        <v>0</v>
      </c>
      <c r="DH77" s="249">
        <f t="shared" si="27"/>
        <v>0</v>
      </c>
      <c r="DI77" s="222">
        <f t="shared" si="28"/>
        <v>0</v>
      </c>
      <c r="DJ77" s="223">
        <f>DH77+15</f>
        <v>15</v>
      </c>
      <c r="DK77" s="222">
        <f>DI77+23550</f>
        <v>23550</v>
      </c>
      <c r="DL77" s="7"/>
      <c r="DM77" s="7"/>
      <c r="DN77" s="4"/>
    </row>
    <row r="78" spans="1:118" ht="15.75" hidden="1" customHeight="1" x14ac:dyDescent="0.3">
      <c r="A78" s="208"/>
      <c r="B78" s="208"/>
      <c r="C78" s="211"/>
      <c r="D78" s="210"/>
      <c r="E78" s="211"/>
      <c r="F78" s="212"/>
      <c r="G78" s="211"/>
      <c r="H78" s="212"/>
      <c r="I78" s="211"/>
      <c r="J78" s="212"/>
      <c r="K78" s="211"/>
      <c r="L78" s="212"/>
      <c r="M78" s="211"/>
      <c r="N78" s="212"/>
      <c r="O78" s="211"/>
      <c r="P78" s="212"/>
      <c r="Q78" s="211"/>
      <c r="R78" s="212"/>
      <c r="S78" s="211"/>
      <c r="T78" s="213"/>
      <c r="U78" s="218"/>
      <c r="V78" s="214"/>
      <c r="W78" s="211"/>
      <c r="X78" s="214"/>
      <c r="Y78" s="211"/>
      <c r="Z78" s="212"/>
      <c r="AA78" s="211"/>
      <c r="AB78" s="212"/>
      <c r="AC78" s="211"/>
      <c r="AD78" s="215"/>
      <c r="AE78" s="211"/>
      <c r="AF78" s="212"/>
      <c r="AG78" s="211"/>
      <c r="AH78" s="212"/>
      <c r="AI78" s="211"/>
      <c r="AJ78" s="212"/>
      <c r="AK78" s="211"/>
      <c r="AL78" s="212"/>
      <c r="AM78" s="211"/>
      <c r="AN78" s="212"/>
      <c r="AO78" s="211"/>
      <c r="AP78" s="212"/>
      <c r="AQ78" s="211"/>
      <c r="AR78" s="212"/>
      <c r="AS78" s="211"/>
      <c r="AT78" s="212"/>
      <c r="AU78" s="211"/>
      <c r="AV78" s="216"/>
      <c r="AW78" s="211"/>
      <c r="AX78" s="212"/>
      <c r="AY78" s="211"/>
      <c r="AZ78" s="212"/>
      <c r="BA78" s="211"/>
      <c r="BB78" s="212"/>
      <c r="BC78" s="211"/>
      <c r="BD78" s="212"/>
      <c r="BE78" s="211"/>
      <c r="BF78" s="212"/>
      <c r="BG78" s="211"/>
      <c r="BH78" s="212"/>
      <c r="BI78" s="211"/>
      <c r="BJ78" s="212"/>
      <c r="BK78" s="211"/>
      <c r="BL78" s="212"/>
      <c r="BM78" s="211"/>
      <c r="BN78" s="216"/>
      <c r="BO78" s="211"/>
      <c r="BP78" s="217"/>
      <c r="BQ78" s="211"/>
      <c r="BR78" s="208"/>
      <c r="BS78" s="208"/>
      <c r="BT78" s="212"/>
      <c r="BU78" s="209"/>
      <c r="BV78" s="212"/>
      <c r="BW78" s="211"/>
      <c r="BX78" s="215"/>
      <c r="BY78" s="211"/>
      <c r="BZ78" s="212"/>
      <c r="CA78" s="211"/>
      <c r="CB78" s="212"/>
      <c r="CC78" s="211"/>
      <c r="CD78" s="208"/>
      <c r="CE78" s="211"/>
      <c r="CF78" s="212"/>
      <c r="CG78" s="211"/>
      <c r="CH78" s="212"/>
      <c r="CI78" s="211"/>
      <c r="CJ78" s="212"/>
      <c r="CK78" s="211"/>
      <c r="CL78" s="215"/>
      <c r="CM78" s="211"/>
      <c r="CN78" s="220"/>
      <c r="CO78" s="209"/>
      <c r="CP78" s="220"/>
      <c r="CQ78" s="220"/>
      <c r="CR78" s="212"/>
      <c r="CS78" s="211"/>
      <c r="CT78" s="212"/>
      <c r="CU78" s="211"/>
      <c r="CV78" s="212"/>
      <c r="CW78" s="211"/>
      <c r="CX78" s="220"/>
      <c r="CY78" s="209"/>
      <c r="CZ78" s="208"/>
      <c r="DA78" s="211"/>
      <c r="DB78" s="221"/>
      <c r="DC78" s="222"/>
      <c r="DD78" s="221"/>
      <c r="DE78" s="222"/>
      <c r="DF78" s="223">
        <f t="shared" si="29"/>
        <v>0</v>
      </c>
      <c r="DG78" s="222">
        <f t="shared" si="30"/>
        <v>0</v>
      </c>
      <c r="DH78" s="249">
        <f t="shared" si="27"/>
        <v>0</v>
      </c>
      <c r="DI78" s="222">
        <f t="shared" si="28"/>
        <v>0</v>
      </c>
      <c r="DJ78" s="223"/>
      <c r="DK78" s="222"/>
      <c r="DL78" s="7"/>
      <c r="DM78" s="7"/>
      <c r="DN78" s="4"/>
    </row>
    <row r="79" spans="1:118" ht="19.5" customHeight="1" x14ac:dyDescent="0.3">
      <c r="A79" s="208" t="s">
        <v>199</v>
      </c>
      <c r="B79" s="208"/>
      <c r="C79" s="211"/>
      <c r="D79" s="210"/>
      <c r="E79" s="211"/>
      <c r="F79" s="212"/>
      <c r="G79" s="211"/>
      <c r="H79" s="212"/>
      <c r="I79" s="211"/>
      <c r="J79" s="212"/>
      <c r="K79" s="211"/>
      <c r="L79" s="212"/>
      <c r="M79" s="211"/>
      <c r="N79" s="212"/>
      <c r="O79" s="211"/>
      <c r="P79" s="212"/>
      <c r="Q79" s="211"/>
      <c r="R79" s="212"/>
      <c r="S79" s="211"/>
      <c r="T79" s="213"/>
      <c r="U79" s="218"/>
      <c r="V79" s="214"/>
      <c r="W79" s="211"/>
      <c r="X79" s="214"/>
      <c r="Y79" s="211"/>
      <c r="Z79" s="212"/>
      <c r="AA79" s="211"/>
      <c r="AB79" s="212"/>
      <c r="AC79" s="211"/>
      <c r="AD79" s="215"/>
      <c r="AE79" s="211"/>
      <c r="AF79" s="212"/>
      <c r="AG79" s="211"/>
      <c r="AH79" s="212"/>
      <c r="AI79" s="211"/>
      <c r="AJ79" s="212"/>
      <c r="AK79" s="211"/>
      <c r="AL79" s="212"/>
      <c r="AM79" s="211"/>
      <c r="AN79" s="212"/>
      <c r="AO79" s="211"/>
      <c r="AP79" s="212"/>
      <c r="AQ79" s="211"/>
      <c r="AR79" s="212"/>
      <c r="AS79" s="211"/>
      <c r="AT79" s="212"/>
      <c r="AU79" s="211"/>
      <c r="AV79" s="216"/>
      <c r="AW79" s="211"/>
      <c r="AX79" s="212"/>
      <c r="AY79" s="211"/>
      <c r="AZ79" s="212"/>
      <c r="BA79" s="211"/>
      <c r="BB79" s="212"/>
      <c r="BC79" s="211"/>
      <c r="BD79" s="212"/>
      <c r="BE79" s="211"/>
      <c r="BF79" s="212"/>
      <c r="BG79" s="211"/>
      <c r="BH79" s="212"/>
      <c r="BI79" s="211"/>
      <c r="BJ79" s="212">
        <v>1</v>
      </c>
      <c r="BK79" s="211">
        <v>700</v>
      </c>
      <c r="BL79" s="212"/>
      <c r="BM79" s="211"/>
      <c r="BN79" s="216"/>
      <c r="BO79" s="211"/>
      <c r="BP79" s="217"/>
      <c r="BQ79" s="211"/>
      <c r="BR79" s="208"/>
      <c r="BS79" s="208"/>
      <c r="BT79" s="212"/>
      <c r="BU79" s="209"/>
      <c r="BV79" s="212"/>
      <c r="BW79" s="211"/>
      <c r="BX79" s="215"/>
      <c r="BY79" s="211"/>
      <c r="BZ79" s="212"/>
      <c r="CA79" s="211"/>
      <c r="CB79" s="212"/>
      <c r="CC79" s="211"/>
      <c r="CD79" s="208"/>
      <c r="CE79" s="211"/>
      <c r="CF79" s="212"/>
      <c r="CG79" s="211"/>
      <c r="CH79" s="212"/>
      <c r="CI79" s="211"/>
      <c r="CJ79" s="212"/>
      <c r="CK79" s="211"/>
      <c r="CL79" s="215"/>
      <c r="CM79" s="211"/>
      <c r="CN79" s="220"/>
      <c r="CO79" s="209"/>
      <c r="CP79" s="220"/>
      <c r="CQ79" s="220"/>
      <c r="CR79" s="212"/>
      <c r="CS79" s="211"/>
      <c r="CT79" s="212"/>
      <c r="CU79" s="211"/>
      <c r="CV79" s="212"/>
      <c r="CW79" s="211"/>
      <c r="CX79" s="220"/>
      <c r="CY79" s="209"/>
      <c r="CZ79" s="208"/>
      <c r="DA79" s="211"/>
      <c r="DB79" s="221"/>
      <c r="DC79" s="222"/>
      <c r="DD79" s="221"/>
      <c r="DE79" s="222"/>
      <c r="DF79" s="223">
        <f t="shared" si="29"/>
        <v>0</v>
      </c>
      <c r="DG79" s="222">
        <f t="shared" si="30"/>
        <v>0</v>
      </c>
      <c r="DH79" s="249">
        <f t="shared" si="27"/>
        <v>1</v>
      </c>
      <c r="DI79" s="222">
        <f t="shared" si="28"/>
        <v>700</v>
      </c>
      <c r="DJ79" s="223">
        <f>DH79+47</f>
        <v>48</v>
      </c>
      <c r="DK79" s="222">
        <f>DI79+38640</f>
        <v>39340</v>
      </c>
      <c r="DL79" s="7"/>
      <c r="DM79" s="7"/>
      <c r="DN79" s="4"/>
    </row>
    <row r="80" spans="1:118" hidden="1" x14ac:dyDescent="0.3">
      <c r="A80" s="259" t="s">
        <v>200</v>
      </c>
      <c r="B80" s="208"/>
      <c r="C80" s="211"/>
      <c r="D80" s="210"/>
      <c r="E80" s="211"/>
      <c r="F80" s="212"/>
      <c r="G80" s="211"/>
      <c r="H80" s="212"/>
      <c r="I80" s="211"/>
      <c r="J80" s="212"/>
      <c r="K80" s="211"/>
      <c r="L80" s="212"/>
      <c r="M80" s="211"/>
      <c r="N80" s="212"/>
      <c r="O80" s="211"/>
      <c r="P80" s="212"/>
      <c r="Q80" s="211"/>
      <c r="R80" s="212"/>
      <c r="S80" s="211"/>
      <c r="T80" s="213"/>
      <c r="U80" s="218"/>
      <c r="V80" s="214"/>
      <c r="W80" s="211"/>
      <c r="X80" s="214"/>
      <c r="Y80" s="211"/>
      <c r="Z80" s="212"/>
      <c r="AA80" s="211"/>
      <c r="AB80" s="212"/>
      <c r="AC80" s="211"/>
      <c r="AD80" s="215"/>
      <c r="AE80" s="211"/>
      <c r="AF80" s="212"/>
      <c r="AG80" s="211"/>
      <c r="AH80" s="212"/>
      <c r="AI80" s="211"/>
      <c r="AJ80" s="212"/>
      <c r="AK80" s="211"/>
      <c r="AL80" s="212"/>
      <c r="AM80" s="211"/>
      <c r="AN80" s="212"/>
      <c r="AO80" s="211"/>
      <c r="AP80" s="212"/>
      <c r="AQ80" s="211"/>
      <c r="AR80" s="212"/>
      <c r="AS80" s="211"/>
      <c r="AT80" s="212"/>
      <c r="AU80" s="211"/>
      <c r="AV80" s="216"/>
      <c r="AW80" s="211"/>
      <c r="AX80" s="212"/>
      <c r="AY80" s="211"/>
      <c r="AZ80" s="212"/>
      <c r="BA80" s="211"/>
      <c r="BB80" s="212"/>
      <c r="BC80" s="211"/>
      <c r="BD80" s="212"/>
      <c r="BE80" s="211"/>
      <c r="BF80" s="212"/>
      <c r="BG80" s="211"/>
      <c r="BH80" s="212"/>
      <c r="BI80" s="211"/>
      <c r="BJ80" s="212"/>
      <c r="BK80" s="211"/>
      <c r="BL80" s="212"/>
      <c r="BM80" s="211"/>
      <c r="BN80" s="216"/>
      <c r="BO80" s="211"/>
      <c r="BP80" s="217"/>
      <c r="BQ80" s="211"/>
      <c r="BR80" s="208"/>
      <c r="BS80" s="208"/>
      <c r="BT80" s="212"/>
      <c r="BU80" s="209"/>
      <c r="BV80" s="212"/>
      <c r="BW80" s="211"/>
      <c r="BX80" s="215"/>
      <c r="BY80" s="211"/>
      <c r="BZ80" s="212"/>
      <c r="CA80" s="211"/>
      <c r="CB80" s="212"/>
      <c r="CC80" s="211"/>
      <c r="CD80" s="208"/>
      <c r="CE80" s="211"/>
      <c r="CF80" s="212"/>
      <c r="CG80" s="211"/>
      <c r="CH80" s="212"/>
      <c r="CI80" s="211"/>
      <c r="CJ80" s="212"/>
      <c r="CK80" s="211"/>
      <c r="CL80" s="215"/>
      <c r="CM80" s="211"/>
      <c r="CN80" s="220"/>
      <c r="CO80" s="209"/>
      <c r="CP80" s="220"/>
      <c r="CQ80" s="220"/>
      <c r="CR80" s="212"/>
      <c r="CS80" s="211"/>
      <c r="CT80" s="212"/>
      <c r="CU80" s="211"/>
      <c r="CV80" s="212"/>
      <c r="CW80" s="211"/>
      <c r="CX80" s="220"/>
      <c r="CY80" s="209"/>
      <c r="CZ80" s="208"/>
      <c r="DA80" s="211"/>
      <c r="DB80" s="221"/>
      <c r="DC80" s="222"/>
      <c r="DD80" s="221"/>
      <c r="DE80" s="222"/>
      <c r="DF80" s="223">
        <f t="shared" si="29"/>
        <v>0</v>
      </c>
      <c r="DG80" s="222">
        <f t="shared" si="30"/>
        <v>0</v>
      </c>
      <c r="DH80" s="249">
        <f t="shared" si="27"/>
        <v>0</v>
      </c>
      <c r="DI80" s="222">
        <f t="shared" si="28"/>
        <v>0</v>
      </c>
      <c r="DJ80" s="223"/>
      <c r="DK80" s="222"/>
      <c r="DL80" s="7"/>
      <c r="DM80" s="7"/>
      <c r="DN80" s="4"/>
    </row>
    <row r="81" spans="1:118" ht="15.75" customHeight="1" x14ac:dyDescent="0.3">
      <c r="A81" s="208" t="s">
        <v>201</v>
      </c>
      <c r="B81" s="208"/>
      <c r="C81" s="211"/>
      <c r="D81" s="210"/>
      <c r="E81" s="211"/>
      <c r="F81" s="212"/>
      <c r="G81" s="211"/>
      <c r="H81" s="212"/>
      <c r="I81" s="211"/>
      <c r="J81" s="212"/>
      <c r="K81" s="211"/>
      <c r="L81" s="212"/>
      <c r="M81" s="211"/>
      <c r="N81" s="212"/>
      <c r="O81" s="211"/>
      <c r="P81" s="212"/>
      <c r="Q81" s="211"/>
      <c r="R81" s="212"/>
      <c r="S81" s="211"/>
      <c r="T81" s="213"/>
      <c r="U81" s="218"/>
      <c r="V81" s="214"/>
      <c r="W81" s="211"/>
      <c r="X81" s="214"/>
      <c r="Y81" s="211"/>
      <c r="Z81" s="212"/>
      <c r="AA81" s="211"/>
      <c r="AB81" s="212">
        <v>1</v>
      </c>
      <c r="AC81" s="211">
        <v>300</v>
      </c>
      <c r="AD81" s="215"/>
      <c r="AE81" s="211"/>
      <c r="AF81" s="212"/>
      <c r="AG81" s="211"/>
      <c r="AH81" s="212"/>
      <c r="AI81" s="211"/>
      <c r="AJ81" s="212"/>
      <c r="AK81" s="211"/>
      <c r="AL81" s="212"/>
      <c r="AM81" s="211"/>
      <c r="AN81" s="212"/>
      <c r="AO81" s="211"/>
      <c r="AP81" s="212"/>
      <c r="AQ81" s="211"/>
      <c r="AR81" s="212"/>
      <c r="AS81" s="211"/>
      <c r="AT81" s="212"/>
      <c r="AU81" s="211"/>
      <c r="AV81" s="216"/>
      <c r="AW81" s="211"/>
      <c r="AX81" s="212"/>
      <c r="AY81" s="211"/>
      <c r="AZ81" s="212"/>
      <c r="BA81" s="211"/>
      <c r="BB81" s="212"/>
      <c r="BC81" s="211"/>
      <c r="BD81" s="212"/>
      <c r="BE81" s="211"/>
      <c r="BF81" s="212"/>
      <c r="BG81" s="211"/>
      <c r="BH81" s="212"/>
      <c r="BI81" s="211"/>
      <c r="BJ81" s="212"/>
      <c r="BK81" s="211"/>
      <c r="BL81" s="212"/>
      <c r="BM81" s="211"/>
      <c r="BN81" s="216"/>
      <c r="BO81" s="211"/>
      <c r="BP81" s="217"/>
      <c r="BQ81" s="211"/>
      <c r="BR81" s="208"/>
      <c r="BS81" s="208"/>
      <c r="BT81" s="212"/>
      <c r="BU81" s="209"/>
      <c r="BV81" s="212"/>
      <c r="BW81" s="211"/>
      <c r="BX81" s="215"/>
      <c r="BY81" s="211"/>
      <c r="BZ81" s="212"/>
      <c r="CA81" s="211"/>
      <c r="CB81" s="212"/>
      <c r="CC81" s="211"/>
      <c r="CD81" s="208"/>
      <c r="CE81" s="211"/>
      <c r="CF81" s="212"/>
      <c r="CG81" s="211"/>
      <c r="CH81" s="212"/>
      <c r="CI81" s="211"/>
      <c r="CJ81" s="212"/>
      <c r="CK81" s="211"/>
      <c r="CL81" s="215"/>
      <c r="CM81" s="211"/>
      <c r="CN81" s="220">
        <v>1</v>
      </c>
      <c r="CO81" s="209">
        <v>500</v>
      </c>
      <c r="CP81" s="220"/>
      <c r="CQ81" s="220"/>
      <c r="CR81" s="212"/>
      <c r="CS81" s="211"/>
      <c r="CT81" s="212"/>
      <c r="CU81" s="211"/>
      <c r="CV81" s="212"/>
      <c r="CW81" s="211"/>
      <c r="CX81" s="220"/>
      <c r="CY81" s="209"/>
      <c r="CZ81" s="208"/>
      <c r="DA81" s="211"/>
      <c r="DB81" s="221"/>
      <c r="DC81" s="222"/>
      <c r="DD81" s="221"/>
      <c r="DE81" s="222"/>
      <c r="DF81" s="223">
        <f t="shared" si="29"/>
        <v>0</v>
      </c>
      <c r="DG81" s="222">
        <f t="shared" si="30"/>
        <v>0</v>
      </c>
      <c r="DH81" s="249">
        <f t="shared" si="27"/>
        <v>2</v>
      </c>
      <c r="DI81" s="222">
        <f t="shared" si="28"/>
        <v>800</v>
      </c>
      <c r="DJ81" s="223">
        <f>DH81+37</f>
        <v>39</v>
      </c>
      <c r="DK81" s="222">
        <f>DI81+64876</f>
        <v>65676</v>
      </c>
      <c r="DL81" s="7"/>
      <c r="DM81" s="7"/>
      <c r="DN81" s="4"/>
    </row>
    <row r="82" spans="1:118" ht="57" hidden="1" customHeight="1" x14ac:dyDescent="0.3">
      <c r="A82" s="278" t="s">
        <v>202</v>
      </c>
      <c r="B82" s="208"/>
      <c r="C82" s="211"/>
      <c r="D82" s="210"/>
      <c r="E82" s="211"/>
      <c r="F82" s="212"/>
      <c r="G82" s="211"/>
      <c r="H82" s="212"/>
      <c r="I82" s="211"/>
      <c r="J82" s="212"/>
      <c r="K82" s="211"/>
      <c r="L82" s="212"/>
      <c r="M82" s="211"/>
      <c r="N82" s="212"/>
      <c r="O82" s="211"/>
      <c r="P82" s="212"/>
      <c r="Q82" s="211"/>
      <c r="R82" s="212"/>
      <c r="S82" s="211"/>
      <c r="T82" s="213"/>
      <c r="U82" s="218"/>
      <c r="V82" s="214"/>
      <c r="W82" s="211"/>
      <c r="X82" s="214"/>
      <c r="Y82" s="211"/>
      <c r="Z82" s="212"/>
      <c r="AA82" s="211"/>
      <c r="AB82" s="212"/>
      <c r="AC82" s="211"/>
      <c r="AD82" s="215"/>
      <c r="AE82" s="211"/>
      <c r="AF82" s="212"/>
      <c r="AG82" s="211"/>
      <c r="AH82" s="212"/>
      <c r="AI82" s="211"/>
      <c r="AJ82" s="212"/>
      <c r="AK82" s="211"/>
      <c r="AL82" s="212"/>
      <c r="AM82" s="211"/>
      <c r="AN82" s="212"/>
      <c r="AO82" s="211"/>
      <c r="AP82" s="212"/>
      <c r="AQ82" s="211"/>
      <c r="AR82" s="212"/>
      <c r="AS82" s="211"/>
      <c r="AT82" s="212"/>
      <c r="AU82" s="211"/>
      <c r="AV82" s="216"/>
      <c r="AW82" s="211"/>
      <c r="AX82" s="212"/>
      <c r="AY82" s="211"/>
      <c r="AZ82" s="212"/>
      <c r="BA82" s="211"/>
      <c r="BB82" s="212"/>
      <c r="BC82" s="211"/>
      <c r="BD82" s="212"/>
      <c r="BE82" s="211"/>
      <c r="BF82" s="212"/>
      <c r="BG82" s="211"/>
      <c r="BH82" s="212"/>
      <c r="BI82" s="211"/>
      <c r="BJ82" s="212"/>
      <c r="BK82" s="211"/>
      <c r="BL82" s="212"/>
      <c r="BM82" s="211"/>
      <c r="BN82" s="216"/>
      <c r="BO82" s="211"/>
      <c r="BP82" s="217"/>
      <c r="BQ82" s="211"/>
      <c r="BR82" s="208"/>
      <c r="BS82" s="208"/>
      <c r="BT82" s="212"/>
      <c r="BU82" s="209"/>
      <c r="BV82" s="212"/>
      <c r="BW82" s="211"/>
      <c r="BX82" s="215"/>
      <c r="BY82" s="211"/>
      <c r="BZ82" s="212"/>
      <c r="CA82" s="211"/>
      <c r="CB82" s="212"/>
      <c r="CC82" s="211"/>
      <c r="CD82" s="208"/>
      <c r="CE82" s="211"/>
      <c r="CF82" s="212"/>
      <c r="CG82" s="211"/>
      <c r="CH82" s="212"/>
      <c r="CI82" s="211"/>
      <c r="CJ82" s="212"/>
      <c r="CK82" s="211"/>
      <c r="CL82" s="215"/>
      <c r="CM82" s="211"/>
      <c r="CN82" s="220"/>
      <c r="CO82" s="209"/>
      <c r="CP82" s="220"/>
      <c r="CQ82" s="220"/>
      <c r="CR82" s="212"/>
      <c r="CS82" s="211"/>
      <c r="CT82" s="212"/>
      <c r="CU82" s="211"/>
      <c r="CV82" s="212"/>
      <c r="CW82" s="211"/>
      <c r="CX82" s="220"/>
      <c r="CY82" s="209"/>
      <c r="CZ82" s="208"/>
      <c r="DA82" s="211"/>
      <c r="DB82" s="221"/>
      <c r="DC82" s="222"/>
      <c r="DD82" s="221"/>
      <c r="DE82" s="222"/>
      <c r="DF82" s="223">
        <f t="shared" si="29"/>
        <v>0</v>
      </c>
      <c r="DG82" s="222">
        <f t="shared" si="30"/>
        <v>0</v>
      </c>
      <c r="DH82" s="249">
        <f t="shared" si="27"/>
        <v>0</v>
      </c>
      <c r="DI82" s="222">
        <f t="shared" si="28"/>
        <v>0</v>
      </c>
      <c r="DJ82" s="223"/>
      <c r="DK82" s="222"/>
      <c r="DL82" s="7"/>
      <c r="DM82" s="7"/>
      <c r="DN82" s="4"/>
    </row>
    <row r="83" spans="1:118" ht="16.5" customHeight="1" x14ac:dyDescent="0.3">
      <c r="A83" s="208" t="s">
        <v>203</v>
      </c>
      <c r="B83" s="208"/>
      <c r="C83" s="211"/>
      <c r="D83" s="210"/>
      <c r="E83" s="211"/>
      <c r="F83" s="212"/>
      <c r="G83" s="211"/>
      <c r="H83" s="212"/>
      <c r="I83" s="211"/>
      <c r="J83" s="212"/>
      <c r="K83" s="211"/>
      <c r="L83" s="212"/>
      <c r="M83" s="211"/>
      <c r="N83" s="212">
        <v>1</v>
      </c>
      <c r="O83" s="211">
        <v>3000</v>
      </c>
      <c r="P83" s="212"/>
      <c r="Q83" s="211"/>
      <c r="R83" s="212">
        <v>1</v>
      </c>
      <c r="S83" s="211">
        <v>4300</v>
      </c>
      <c r="T83" s="213">
        <v>1</v>
      </c>
      <c r="U83" s="218">
        <v>400</v>
      </c>
      <c r="V83" s="214"/>
      <c r="W83" s="211"/>
      <c r="X83" s="214"/>
      <c r="Y83" s="211"/>
      <c r="Z83" s="212"/>
      <c r="AA83" s="211"/>
      <c r="AB83" s="212"/>
      <c r="AC83" s="211"/>
      <c r="AD83" s="215"/>
      <c r="AE83" s="211"/>
      <c r="AF83" s="212"/>
      <c r="AG83" s="211"/>
      <c r="AH83" s="212"/>
      <c r="AI83" s="211"/>
      <c r="AJ83" s="212"/>
      <c r="AK83" s="211"/>
      <c r="AL83" s="212"/>
      <c r="AM83" s="211"/>
      <c r="AN83" s="212"/>
      <c r="AO83" s="211"/>
      <c r="AP83" s="212"/>
      <c r="AQ83" s="211"/>
      <c r="AR83" s="212"/>
      <c r="AS83" s="211"/>
      <c r="AT83" s="212"/>
      <c r="AU83" s="211"/>
      <c r="AV83" s="216"/>
      <c r="AW83" s="211"/>
      <c r="AX83" s="212"/>
      <c r="AY83" s="211"/>
      <c r="AZ83" s="212"/>
      <c r="BA83" s="211"/>
      <c r="BB83" s="212"/>
      <c r="BC83" s="211"/>
      <c r="BD83" s="212"/>
      <c r="BE83" s="211"/>
      <c r="BF83" s="212"/>
      <c r="BG83" s="211"/>
      <c r="BH83" s="212">
        <v>1</v>
      </c>
      <c r="BI83" s="211">
        <v>2500</v>
      </c>
      <c r="BJ83" s="212"/>
      <c r="BK83" s="211"/>
      <c r="BL83" s="212"/>
      <c r="BM83" s="211"/>
      <c r="BN83" s="216">
        <v>1</v>
      </c>
      <c r="BO83" s="211">
        <v>2500</v>
      </c>
      <c r="BP83" s="217">
        <v>1</v>
      </c>
      <c r="BQ83" s="211">
        <v>1700</v>
      </c>
      <c r="BR83" s="208"/>
      <c r="BS83" s="279"/>
      <c r="BT83" s="212"/>
      <c r="BU83" s="209"/>
      <c r="BV83" s="212"/>
      <c r="BW83" s="211"/>
      <c r="BX83" s="215"/>
      <c r="BY83" s="211"/>
      <c r="BZ83" s="212"/>
      <c r="CA83" s="211"/>
      <c r="CB83" s="212"/>
      <c r="CC83" s="211"/>
      <c r="CD83" s="208">
        <v>1</v>
      </c>
      <c r="CE83" s="211">
        <v>3000</v>
      </c>
      <c r="CF83" s="212"/>
      <c r="CG83" s="211"/>
      <c r="CH83" s="212"/>
      <c r="CI83" s="211"/>
      <c r="CJ83" s="212"/>
      <c r="CK83" s="211"/>
      <c r="CL83" s="215"/>
      <c r="CM83" s="211"/>
      <c r="CN83" s="220"/>
      <c r="CO83" s="209"/>
      <c r="CP83" s="220"/>
      <c r="CQ83" s="220"/>
      <c r="CR83" s="212"/>
      <c r="CS83" s="211"/>
      <c r="CT83" s="212"/>
      <c r="CU83" s="211"/>
      <c r="CV83" s="212"/>
      <c r="CW83" s="211"/>
      <c r="CX83" s="220"/>
      <c r="CY83" s="209"/>
      <c r="CZ83" s="208"/>
      <c r="DA83" s="211"/>
      <c r="DB83" s="221"/>
      <c r="DC83" s="222"/>
      <c r="DD83" s="221"/>
      <c r="DE83" s="222"/>
      <c r="DF83" s="223">
        <f t="shared" si="29"/>
        <v>0</v>
      </c>
      <c r="DG83" s="222">
        <f t="shared" si="30"/>
        <v>0</v>
      </c>
      <c r="DH83" s="249">
        <f t="shared" si="27"/>
        <v>7</v>
      </c>
      <c r="DI83" s="222">
        <f t="shared" si="28"/>
        <v>17400</v>
      </c>
      <c r="DJ83" s="223">
        <f>DH83+64</f>
        <v>71</v>
      </c>
      <c r="DK83" s="222">
        <f>DI83+85479</f>
        <v>102879</v>
      </c>
      <c r="DL83" s="7"/>
      <c r="DM83" s="7"/>
      <c r="DN83" s="4"/>
    </row>
    <row r="84" spans="1:118" ht="51.75" hidden="1" customHeight="1" x14ac:dyDescent="0.3">
      <c r="A84" s="259" t="s">
        <v>204</v>
      </c>
      <c r="B84" s="208"/>
      <c r="C84" s="211"/>
      <c r="D84" s="210"/>
      <c r="E84" s="211"/>
      <c r="F84" s="212"/>
      <c r="G84" s="211"/>
      <c r="H84" s="212"/>
      <c r="I84" s="211"/>
      <c r="J84" s="212"/>
      <c r="K84" s="211"/>
      <c r="L84" s="212"/>
      <c r="M84" s="211"/>
      <c r="N84" s="212"/>
      <c r="O84" s="211"/>
      <c r="P84" s="212"/>
      <c r="Q84" s="211"/>
      <c r="R84" s="212"/>
      <c r="S84" s="211"/>
      <c r="T84" s="213"/>
      <c r="U84" s="218"/>
      <c r="V84" s="214"/>
      <c r="W84" s="211"/>
      <c r="X84" s="214"/>
      <c r="Y84" s="211"/>
      <c r="Z84" s="212"/>
      <c r="AA84" s="211"/>
      <c r="AB84" s="212"/>
      <c r="AC84" s="211"/>
      <c r="AD84" s="215"/>
      <c r="AE84" s="211"/>
      <c r="AF84" s="212"/>
      <c r="AG84" s="211"/>
      <c r="AH84" s="212"/>
      <c r="AI84" s="211"/>
      <c r="AJ84" s="212"/>
      <c r="AK84" s="211"/>
      <c r="AL84" s="212"/>
      <c r="AM84" s="211"/>
      <c r="AN84" s="212"/>
      <c r="AO84" s="211"/>
      <c r="AP84" s="212"/>
      <c r="AQ84" s="211"/>
      <c r="AR84" s="212"/>
      <c r="AS84" s="211"/>
      <c r="AT84" s="212"/>
      <c r="AU84" s="211"/>
      <c r="AV84" s="216"/>
      <c r="AW84" s="211"/>
      <c r="AX84" s="212"/>
      <c r="AY84" s="211"/>
      <c r="AZ84" s="212"/>
      <c r="BA84" s="211"/>
      <c r="BB84" s="212"/>
      <c r="BC84" s="211"/>
      <c r="BD84" s="212"/>
      <c r="BE84" s="211"/>
      <c r="BF84" s="212"/>
      <c r="BG84" s="211"/>
      <c r="BH84" s="212"/>
      <c r="BI84" s="211"/>
      <c r="BJ84" s="212"/>
      <c r="BK84" s="211"/>
      <c r="BL84" s="212"/>
      <c r="BM84" s="211"/>
      <c r="BN84" s="216"/>
      <c r="BO84" s="211"/>
      <c r="BP84" s="217"/>
      <c r="BQ84" s="211"/>
      <c r="BR84" s="208"/>
      <c r="BS84" s="208"/>
      <c r="BT84" s="212"/>
      <c r="BU84" s="209"/>
      <c r="BV84" s="212"/>
      <c r="BW84" s="211"/>
      <c r="BX84" s="215"/>
      <c r="BY84" s="211"/>
      <c r="BZ84" s="212"/>
      <c r="CA84" s="211"/>
      <c r="CB84" s="212"/>
      <c r="CC84" s="211"/>
      <c r="CD84" s="208"/>
      <c r="CE84" s="211"/>
      <c r="CF84" s="212"/>
      <c r="CG84" s="211"/>
      <c r="CH84" s="212"/>
      <c r="CI84" s="211"/>
      <c r="CJ84" s="212"/>
      <c r="CK84" s="211"/>
      <c r="CL84" s="215"/>
      <c r="CM84" s="211"/>
      <c r="CN84" s="220"/>
      <c r="CO84" s="209"/>
      <c r="CP84" s="220"/>
      <c r="CQ84" s="220"/>
      <c r="CR84" s="212"/>
      <c r="CS84" s="211"/>
      <c r="CT84" s="212"/>
      <c r="CU84" s="211"/>
      <c r="CV84" s="212"/>
      <c r="CW84" s="211"/>
      <c r="CX84" s="220"/>
      <c r="CY84" s="209"/>
      <c r="CZ84" s="208"/>
      <c r="DA84" s="211"/>
      <c r="DB84" s="221"/>
      <c r="DC84" s="222"/>
      <c r="DD84" s="221"/>
      <c r="DE84" s="222"/>
      <c r="DF84" s="223">
        <f t="shared" si="29"/>
        <v>0</v>
      </c>
      <c r="DG84" s="222">
        <f t="shared" si="30"/>
        <v>0</v>
      </c>
      <c r="DH84" s="249">
        <f t="shared" si="27"/>
        <v>0</v>
      </c>
      <c r="DI84" s="222">
        <f t="shared" si="28"/>
        <v>0</v>
      </c>
      <c r="DJ84" s="223"/>
      <c r="DK84" s="222"/>
      <c r="DL84" s="7"/>
      <c r="DM84" s="7"/>
      <c r="DN84" s="4"/>
    </row>
    <row r="85" spans="1:118" ht="16.5" customHeight="1" x14ac:dyDescent="0.3">
      <c r="A85" s="208" t="s">
        <v>205</v>
      </c>
      <c r="B85" s="208"/>
      <c r="C85" s="211"/>
      <c r="D85" s="210"/>
      <c r="E85" s="211"/>
      <c r="F85" s="212"/>
      <c r="G85" s="211"/>
      <c r="H85" s="212"/>
      <c r="I85" s="211"/>
      <c r="J85" s="212"/>
      <c r="K85" s="211"/>
      <c r="L85" s="212"/>
      <c r="M85" s="211"/>
      <c r="N85" s="212"/>
      <c r="O85" s="211"/>
      <c r="P85" s="212"/>
      <c r="Q85" s="211"/>
      <c r="R85" s="212"/>
      <c r="S85" s="211"/>
      <c r="T85" s="213"/>
      <c r="U85" s="218"/>
      <c r="V85" s="214"/>
      <c r="W85" s="211"/>
      <c r="X85" s="214"/>
      <c r="Y85" s="211"/>
      <c r="Z85" s="212"/>
      <c r="AA85" s="211"/>
      <c r="AB85" s="212"/>
      <c r="AC85" s="211"/>
      <c r="AD85" s="215"/>
      <c r="AE85" s="211"/>
      <c r="AF85" s="212"/>
      <c r="AG85" s="211"/>
      <c r="AH85" s="212"/>
      <c r="AI85" s="211"/>
      <c r="AJ85" s="212"/>
      <c r="AK85" s="211"/>
      <c r="AL85" s="212"/>
      <c r="AM85" s="211"/>
      <c r="AN85" s="212">
        <v>1</v>
      </c>
      <c r="AO85" s="211">
        <v>2100</v>
      </c>
      <c r="AP85" s="212"/>
      <c r="AQ85" s="211"/>
      <c r="AR85" s="212"/>
      <c r="AS85" s="211"/>
      <c r="AT85" s="212"/>
      <c r="AU85" s="211"/>
      <c r="AV85" s="216"/>
      <c r="AW85" s="211"/>
      <c r="AX85" s="212"/>
      <c r="AY85" s="211"/>
      <c r="AZ85" s="212"/>
      <c r="BA85" s="211"/>
      <c r="BB85" s="212"/>
      <c r="BC85" s="211"/>
      <c r="BD85" s="212"/>
      <c r="BE85" s="211"/>
      <c r="BF85" s="212"/>
      <c r="BG85" s="211"/>
      <c r="BH85" s="212"/>
      <c r="BI85" s="211"/>
      <c r="BJ85" s="212"/>
      <c r="BK85" s="211"/>
      <c r="BL85" s="212"/>
      <c r="BM85" s="211"/>
      <c r="BN85" s="216"/>
      <c r="BO85" s="211"/>
      <c r="BP85" s="217"/>
      <c r="BQ85" s="211"/>
      <c r="BR85" s="208"/>
      <c r="BS85" s="208"/>
      <c r="BT85" s="212"/>
      <c r="BU85" s="209"/>
      <c r="BV85" s="212"/>
      <c r="BW85" s="211"/>
      <c r="BX85" s="215"/>
      <c r="BY85" s="211"/>
      <c r="BZ85" s="212"/>
      <c r="CA85" s="211"/>
      <c r="CB85" s="212"/>
      <c r="CC85" s="211"/>
      <c r="CD85" s="208"/>
      <c r="CE85" s="211"/>
      <c r="CF85" s="212"/>
      <c r="CG85" s="211"/>
      <c r="CH85" s="212"/>
      <c r="CI85" s="211"/>
      <c r="CJ85" s="212"/>
      <c r="CK85" s="211"/>
      <c r="CL85" s="215"/>
      <c r="CM85" s="211"/>
      <c r="CN85" s="220"/>
      <c r="CO85" s="209"/>
      <c r="CP85" s="220"/>
      <c r="CQ85" s="220"/>
      <c r="CR85" s="212"/>
      <c r="CS85" s="211"/>
      <c r="CT85" s="212">
        <v>1</v>
      </c>
      <c r="CU85" s="211">
        <v>3000</v>
      </c>
      <c r="CV85" s="212"/>
      <c r="CW85" s="211"/>
      <c r="CX85" s="220"/>
      <c r="CY85" s="209"/>
      <c r="CZ85" s="208"/>
      <c r="DA85" s="211"/>
      <c r="DB85" s="221"/>
      <c r="DC85" s="222"/>
      <c r="DD85" s="221">
        <v>1</v>
      </c>
      <c r="DE85" s="222">
        <v>2000</v>
      </c>
      <c r="DF85" s="223">
        <f t="shared" si="29"/>
        <v>1</v>
      </c>
      <c r="DG85" s="222">
        <f t="shared" si="30"/>
        <v>2000</v>
      </c>
      <c r="DH85" s="249">
        <f t="shared" si="27"/>
        <v>3</v>
      </c>
      <c r="DI85" s="222">
        <f t="shared" si="28"/>
        <v>7100</v>
      </c>
      <c r="DJ85" s="223">
        <f>DH85+30</f>
        <v>33</v>
      </c>
      <c r="DK85" s="222">
        <f>DI85+24546</f>
        <v>31646</v>
      </c>
      <c r="DL85" s="7"/>
      <c r="DM85" s="7"/>
      <c r="DN85" s="4"/>
    </row>
    <row r="86" spans="1:118" ht="26.4" hidden="1" x14ac:dyDescent="0.3">
      <c r="A86" s="259" t="s">
        <v>206</v>
      </c>
      <c r="B86" s="208"/>
      <c r="C86" s="211"/>
      <c r="D86" s="210"/>
      <c r="E86" s="211"/>
      <c r="F86" s="212"/>
      <c r="G86" s="211"/>
      <c r="H86" s="212"/>
      <c r="I86" s="211"/>
      <c r="J86" s="212"/>
      <c r="K86" s="211"/>
      <c r="L86" s="212"/>
      <c r="M86" s="211"/>
      <c r="N86" s="212"/>
      <c r="O86" s="211"/>
      <c r="P86" s="212"/>
      <c r="Q86" s="211"/>
      <c r="R86" s="212"/>
      <c r="S86" s="211"/>
      <c r="T86" s="213"/>
      <c r="U86" s="218"/>
      <c r="V86" s="214"/>
      <c r="W86" s="211"/>
      <c r="X86" s="214"/>
      <c r="Y86" s="211"/>
      <c r="Z86" s="212"/>
      <c r="AA86" s="211"/>
      <c r="AB86" s="212"/>
      <c r="AC86" s="211"/>
      <c r="AD86" s="215"/>
      <c r="AE86" s="211"/>
      <c r="AF86" s="212"/>
      <c r="AG86" s="211"/>
      <c r="AH86" s="212"/>
      <c r="AI86" s="211"/>
      <c r="AJ86" s="212"/>
      <c r="AK86" s="211"/>
      <c r="AL86" s="212"/>
      <c r="AM86" s="211"/>
      <c r="AN86" s="212"/>
      <c r="AO86" s="211"/>
      <c r="AP86" s="212"/>
      <c r="AQ86" s="211"/>
      <c r="AR86" s="212"/>
      <c r="AS86" s="211"/>
      <c r="AT86" s="212"/>
      <c r="AU86" s="211"/>
      <c r="AV86" s="216"/>
      <c r="AW86" s="211"/>
      <c r="AX86" s="212"/>
      <c r="AY86" s="211"/>
      <c r="AZ86" s="212"/>
      <c r="BA86" s="211"/>
      <c r="BB86" s="212"/>
      <c r="BC86" s="211"/>
      <c r="BD86" s="212"/>
      <c r="BE86" s="211"/>
      <c r="BF86" s="212"/>
      <c r="BG86" s="211"/>
      <c r="BH86" s="212"/>
      <c r="BI86" s="211"/>
      <c r="BJ86" s="212"/>
      <c r="BK86" s="211"/>
      <c r="BL86" s="212"/>
      <c r="BM86" s="211"/>
      <c r="BN86" s="216"/>
      <c r="BO86" s="211"/>
      <c r="BP86" s="217"/>
      <c r="BQ86" s="211"/>
      <c r="BR86" s="208"/>
      <c r="BS86" s="208"/>
      <c r="BT86" s="212"/>
      <c r="BU86" s="209"/>
      <c r="BV86" s="212"/>
      <c r="BW86" s="211"/>
      <c r="BX86" s="215"/>
      <c r="BY86" s="211"/>
      <c r="BZ86" s="212"/>
      <c r="CA86" s="211"/>
      <c r="CB86" s="212"/>
      <c r="CC86" s="211"/>
      <c r="CD86" s="208"/>
      <c r="CE86" s="211"/>
      <c r="CF86" s="212"/>
      <c r="CG86" s="211"/>
      <c r="CH86" s="212"/>
      <c r="CI86" s="211"/>
      <c r="CJ86" s="212"/>
      <c r="CK86" s="211"/>
      <c r="CL86" s="215"/>
      <c r="CM86" s="211"/>
      <c r="CN86" s="220"/>
      <c r="CO86" s="209"/>
      <c r="CP86" s="220"/>
      <c r="CQ86" s="220"/>
      <c r="CR86" s="212"/>
      <c r="CS86" s="211"/>
      <c r="CT86" s="212"/>
      <c r="CU86" s="211"/>
      <c r="CV86" s="212"/>
      <c r="CW86" s="211"/>
      <c r="CX86" s="220"/>
      <c r="CY86" s="209"/>
      <c r="CZ86" s="208"/>
      <c r="DA86" s="211"/>
      <c r="DB86" s="221"/>
      <c r="DC86" s="222"/>
      <c r="DD86" s="221"/>
      <c r="DE86" s="222"/>
      <c r="DF86" s="223">
        <f t="shared" si="29"/>
        <v>0</v>
      </c>
      <c r="DG86" s="222">
        <f t="shared" si="30"/>
        <v>0</v>
      </c>
      <c r="DH86" s="249">
        <f t="shared" si="27"/>
        <v>0</v>
      </c>
      <c r="DI86" s="222">
        <f t="shared" si="28"/>
        <v>0</v>
      </c>
      <c r="DJ86" s="223"/>
      <c r="DK86" s="222"/>
      <c r="DL86" s="7"/>
      <c r="DM86" s="7"/>
      <c r="DN86" s="4"/>
    </row>
    <row r="87" spans="1:118" ht="19.5" customHeight="1" x14ac:dyDescent="0.3">
      <c r="A87" s="208" t="s">
        <v>207</v>
      </c>
      <c r="B87" s="208"/>
      <c r="C87" s="211"/>
      <c r="D87" s="210"/>
      <c r="E87" s="211"/>
      <c r="F87" s="212"/>
      <c r="G87" s="211"/>
      <c r="H87" s="212"/>
      <c r="I87" s="211"/>
      <c r="J87" s="212"/>
      <c r="K87" s="211"/>
      <c r="L87" s="212"/>
      <c r="M87" s="211"/>
      <c r="N87" s="212"/>
      <c r="O87" s="211"/>
      <c r="P87" s="212"/>
      <c r="Q87" s="211"/>
      <c r="R87" s="212"/>
      <c r="S87" s="211"/>
      <c r="T87" s="213"/>
      <c r="U87" s="218"/>
      <c r="V87" s="214"/>
      <c r="W87" s="211"/>
      <c r="X87" s="214"/>
      <c r="Y87" s="211"/>
      <c r="Z87" s="212"/>
      <c r="AA87" s="211"/>
      <c r="AB87" s="212"/>
      <c r="AC87" s="211"/>
      <c r="AD87" s="215"/>
      <c r="AE87" s="211"/>
      <c r="AF87" s="212"/>
      <c r="AG87" s="211"/>
      <c r="AH87" s="212"/>
      <c r="AI87" s="211"/>
      <c r="AJ87" s="212"/>
      <c r="AK87" s="211"/>
      <c r="AL87" s="212"/>
      <c r="AM87" s="211"/>
      <c r="AN87" s="212"/>
      <c r="AO87" s="211"/>
      <c r="AP87" s="212"/>
      <c r="AQ87" s="211"/>
      <c r="AR87" s="212">
        <v>1</v>
      </c>
      <c r="AS87" s="211">
        <v>2300</v>
      </c>
      <c r="AT87" s="212"/>
      <c r="AU87" s="211"/>
      <c r="AV87" s="216"/>
      <c r="AW87" s="211"/>
      <c r="AX87" s="212"/>
      <c r="AY87" s="211"/>
      <c r="AZ87" s="212"/>
      <c r="BA87" s="211"/>
      <c r="BB87" s="212"/>
      <c r="BC87" s="211"/>
      <c r="BD87" s="212"/>
      <c r="BE87" s="211"/>
      <c r="BF87" s="212"/>
      <c r="BG87" s="211"/>
      <c r="BH87" s="212"/>
      <c r="BI87" s="211"/>
      <c r="BJ87" s="212"/>
      <c r="BK87" s="211"/>
      <c r="BL87" s="212"/>
      <c r="BM87" s="211"/>
      <c r="BN87" s="216"/>
      <c r="BO87" s="211"/>
      <c r="BP87" s="217"/>
      <c r="BQ87" s="211"/>
      <c r="BR87" s="208"/>
      <c r="BS87" s="279"/>
      <c r="BT87" s="212"/>
      <c r="BU87" s="209"/>
      <c r="BV87" s="212"/>
      <c r="BW87" s="211"/>
      <c r="BX87" s="215"/>
      <c r="BY87" s="211"/>
      <c r="BZ87" s="212"/>
      <c r="CA87" s="211"/>
      <c r="CB87" s="212"/>
      <c r="CC87" s="211"/>
      <c r="CD87" s="208"/>
      <c r="CE87" s="211"/>
      <c r="CF87" s="212"/>
      <c r="CG87" s="211"/>
      <c r="CH87" s="212"/>
      <c r="CI87" s="211"/>
      <c r="CJ87" s="212"/>
      <c r="CK87" s="211"/>
      <c r="CL87" s="215"/>
      <c r="CM87" s="211"/>
      <c r="CN87" s="220">
        <v>1</v>
      </c>
      <c r="CO87" s="209">
        <v>500</v>
      </c>
      <c r="CP87" s="220"/>
      <c r="CQ87" s="220"/>
      <c r="CR87" s="212"/>
      <c r="CS87" s="211"/>
      <c r="CT87" s="212"/>
      <c r="CU87" s="211"/>
      <c r="CV87" s="212"/>
      <c r="CW87" s="211"/>
      <c r="CX87" s="220"/>
      <c r="CY87" s="209"/>
      <c r="CZ87" s="208">
        <v>1</v>
      </c>
      <c r="DA87" s="211">
        <v>600</v>
      </c>
      <c r="DB87" s="221"/>
      <c r="DC87" s="222"/>
      <c r="DD87" s="221"/>
      <c r="DE87" s="222"/>
      <c r="DF87" s="223">
        <f t="shared" si="29"/>
        <v>1</v>
      </c>
      <c r="DG87" s="222">
        <f t="shared" si="30"/>
        <v>600</v>
      </c>
      <c r="DH87" s="249">
        <f t="shared" si="27"/>
        <v>3</v>
      </c>
      <c r="DI87" s="222">
        <f t="shared" si="28"/>
        <v>3400</v>
      </c>
      <c r="DJ87" s="223">
        <f>DH87+25</f>
        <v>28</v>
      </c>
      <c r="DK87" s="222">
        <f>DI87+46780</f>
        <v>50180</v>
      </c>
      <c r="DL87" s="7"/>
      <c r="DM87" s="7"/>
      <c r="DN87" s="4"/>
    </row>
    <row r="88" spans="1:118" ht="36" hidden="1" customHeight="1" x14ac:dyDescent="0.3">
      <c r="A88" s="278" t="s">
        <v>208</v>
      </c>
      <c r="B88" s="208"/>
      <c r="C88" s="211"/>
      <c r="D88" s="210"/>
      <c r="E88" s="211"/>
      <c r="F88" s="212"/>
      <c r="G88" s="211"/>
      <c r="H88" s="212"/>
      <c r="I88" s="211"/>
      <c r="J88" s="212"/>
      <c r="K88" s="211"/>
      <c r="L88" s="212"/>
      <c r="M88" s="211"/>
      <c r="N88" s="212"/>
      <c r="O88" s="211"/>
      <c r="P88" s="212"/>
      <c r="Q88" s="211"/>
      <c r="R88" s="212"/>
      <c r="S88" s="211"/>
      <c r="T88" s="213"/>
      <c r="U88" s="218"/>
      <c r="V88" s="214"/>
      <c r="W88" s="211"/>
      <c r="X88" s="214"/>
      <c r="Y88" s="211"/>
      <c r="Z88" s="212"/>
      <c r="AA88" s="211"/>
      <c r="AB88" s="212"/>
      <c r="AC88" s="211"/>
      <c r="AD88" s="215"/>
      <c r="AE88" s="211"/>
      <c r="AF88" s="212"/>
      <c r="AG88" s="211"/>
      <c r="AH88" s="212"/>
      <c r="AI88" s="211"/>
      <c r="AJ88" s="212"/>
      <c r="AK88" s="211"/>
      <c r="AL88" s="212"/>
      <c r="AM88" s="211"/>
      <c r="AN88" s="212"/>
      <c r="AO88" s="211"/>
      <c r="AP88" s="212"/>
      <c r="AQ88" s="211"/>
      <c r="AR88" s="212"/>
      <c r="AS88" s="211"/>
      <c r="AT88" s="212"/>
      <c r="AU88" s="211"/>
      <c r="AV88" s="216"/>
      <c r="AW88" s="211"/>
      <c r="AX88" s="212"/>
      <c r="AY88" s="211"/>
      <c r="AZ88" s="212"/>
      <c r="BA88" s="211"/>
      <c r="BB88" s="212"/>
      <c r="BC88" s="211"/>
      <c r="BD88" s="212"/>
      <c r="BE88" s="211"/>
      <c r="BF88" s="212"/>
      <c r="BG88" s="211"/>
      <c r="BH88" s="212"/>
      <c r="BI88" s="211"/>
      <c r="BJ88" s="212"/>
      <c r="BK88" s="211"/>
      <c r="BL88" s="212"/>
      <c r="BM88" s="211"/>
      <c r="BN88" s="216"/>
      <c r="BO88" s="211"/>
      <c r="BP88" s="217"/>
      <c r="BQ88" s="211"/>
      <c r="BR88" s="208"/>
      <c r="BS88" s="208"/>
      <c r="BT88" s="212"/>
      <c r="BU88" s="209"/>
      <c r="BV88" s="212"/>
      <c r="BW88" s="211"/>
      <c r="BX88" s="215"/>
      <c r="BY88" s="211"/>
      <c r="BZ88" s="212"/>
      <c r="CA88" s="211"/>
      <c r="CB88" s="212"/>
      <c r="CC88" s="211"/>
      <c r="CD88" s="208"/>
      <c r="CE88" s="211"/>
      <c r="CF88" s="212"/>
      <c r="CG88" s="211"/>
      <c r="CH88" s="212"/>
      <c r="CI88" s="211"/>
      <c r="CJ88" s="212"/>
      <c r="CK88" s="211"/>
      <c r="CL88" s="215"/>
      <c r="CM88" s="211"/>
      <c r="CN88" s="220"/>
      <c r="CO88" s="209"/>
      <c r="CP88" s="220"/>
      <c r="CQ88" s="220"/>
      <c r="CR88" s="212"/>
      <c r="CS88" s="211"/>
      <c r="CT88" s="212"/>
      <c r="CU88" s="211"/>
      <c r="CV88" s="212"/>
      <c r="CW88" s="211"/>
      <c r="CX88" s="220"/>
      <c r="CY88" s="209"/>
      <c r="CZ88" s="208"/>
      <c r="DA88" s="211"/>
      <c r="DB88" s="221"/>
      <c r="DC88" s="222"/>
      <c r="DD88" s="221"/>
      <c r="DE88" s="222"/>
      <c r="DF88" s="223">
        <f t="shared" si="29"/>
        <v>0</v>
      </c>
      <c r="DG88" s="222">
        <f t="shared" si="30"/>
        <v>0</v>
      </c>
      <c r="DH88" s="249">
        <f t="shared" si="27"/>
        <v>0</v>
      </c>
      <c r="DI88" s="222">
        <f t="shared" si="28"/>
        <v>0</v>
      </c>
      <c r="DJ88" s="223"/>
      <c r="DK88" s="222"/>
      <c r="DL88" s="7"/>
      <c r="DM88" s="7"/>
      <c r="DN88" s="4"/>
    </row>
    <row r="89" spans="1:118" ht="19.5" customHeight="1" x14ac:dyDescent="0.3">
      <c r="A89" s="208" t="s">
        <v>209</v>
      </c>
      <c r="B89" s="208"/>
      <c r="C89" s="211"/>
      <c r="D89" s="210"/>
      <c r="E89" s="211"/>
      <c r="F89" s="212"/>
      <c r="G89" s="211"/>
      <c r="H89" s="212"/>
      <c r="I89" s="211"/>
      <c r="J89" s="212"/>
      <c r="K89" s="211"/>
      <c r="L89" s="212"/>
      <c r="M89" s="211"/>
      <c r="N89" s="212"/>
      <c r="O89" s="211"/>
      <c r="P89" s="212"/>
      <c r="Q89" s="211"/>
      <c r="R89" s="212"/>
      <c r="S89" s="211"/>
      <c r="T89" s="213">
        <v>1</v>
      </c>
      <c r="U89" s="218">
        <v>300</v>
      </c>
      <c r="V89" s="214"/>
      <c r="W89" s="211"/>
      <c r="X89" s="214"/>
      <c r="Y89" s="211"/>
      <c r="Z89" s="212"/>
      <c r="AA89" s="211"/>
      <c r="AB89" s="212"/>
      <c r="AC89" s="211"/>
      <c r="AD89" s="215"/>
      <c r="AE89" s="211"/>
      <c r="AF89" s="212"/>
      <c r="AG89" s="211"/>
      <c r="AH89" s="212"/>
      <c r="AI89" s="211"/>
      <c r="AJ89" s="212"/>
      <c r="AK89" s="211"/>
      <c r="AL89" s="212"/>
      <c r="AM89" s="211"/>
      <c r="AN89" s="212"/>
      <c r="AO89" s="211"/>
      <c r="AP89" s="212"/>
      <c r="AQ89" s="211"/>
      <c r="AR89" s="212">
        <v>1</v>
      </c>
      <c r="AS89" s="211">
        <v>3000</v>
      </c>
      <c r="AT89" s="212"/>
      <c r="AU89" s="211"/>
      <c r="AV89" s="216"/>
      <c r="AW89" s="211"/>
      <c r="AX89" s="212"/>
      <c r="AY89" s="211"/>
      <c r="AZ89" s="212"/>
      <c r="BA89" s="211"/>
      <c r="BB89" s="212"/>
      <c r="BC89" s="211"/>
      <c r="BD89" s="212"/>
      <c r="BE89" s="211"/>
      <c r="BF89" s="212"/>
      <c r="BG89" s="211"/>
      <c r="BH89" s="212"/>
      <c r="BI89" s="211"/>
      <c r="BJ89" s="212"/>
      <c r="BK89" s="211"/>
      <c r="BL89" s="212"/>
      <c r="BM89" s="211"/>
      <c r="BN89" s="216"/>
      <c r="BO89" s="211"/>
      <c r="BP89" s="217"/>
      <c r="BQ89" s="211"/>
      <c r="BR89" s="208"/>
      <c r="BS89" s="208"/>
      <c r="BT89" s="212"/>
      <c r="BU89" s="209"/>
      <c r="BV89" s="212"/>
      <c r="BW89" s="211"/>
      <c r="BX89" s="215"/>
      <c r="BY89" s="211"/>
      <c r="BZ89" s="212"/>
      <c r="CA89" s="211"/>
      <c r="CB89" s="212"/>
      <c r="CC89" s="211"/>
      <c r="CD89" s="208"/>
      <c r="CE89" s="211"/>
      <c r="CF89" s="212"/>
      <c r="CG89" s="211"/>
      <c r="CH89" s="212"/>
      <c r="CI89" s="211"/>
      <c r="CJ89" s="212"/>
      <c r="CK89" s="211"/>
      <c r="CL89" s="215"/>
      <c r="CM89" s="211"/>
      <c r="CN89" s="220"/>
      <c r="CO89" s="209"/>
      <c r="CP89" s="220"/>
      <c r="CQ89" s="220"/>
      <c r="CR89" s="212"/>
      <c r="CS89" s="211"/>
      <c r="CT89" s="212"/>
      <c r="CU89" s="211"/>
      <c r="CV89" s="212"/>
      <c r="CW89" s="211"/>
      <c r="CX89" s="220"/>
      <c r="CY89" s="209"/>
      <c r="CZ89" s="208"/>
      <c r="DA89" s="211"/>
      <c r="DB89" s="221">
        <v>1</v>
      </c>
      <c r="DC89" s="222">
        <v>2500</v>
      </c>
      <c r="DD89" s="221"/>
      <c r="DE89" s="222"/>
      <c r="DF89" s="223">
        <f t="shared" si="29"/>
        <v>1</v>
      </c>
      <c r="DG89" s="222">
        <f t="shared" si="30"/>
        <v>2500</v>
      </c>
      <c r="DH89" s="249">
        <f t="shared" si="27"/>
        <v>3</v>
      </c>
      <c r="DI89" s="222">
        <f t="shared" si="28"/>
        <v>5800</v>
      </c>
      <c r="DJ89" s="223">
        <f>DH89+17</f>
        <v>20</v>
      </c>
      <c r="DK89" s="222">
        <f>DI89+25530</f>
        <v>31330</v>
      </c>
      <c r="DL89" s="7"/>
      <c r="DM89" s="7"/>
      <c r="DN89" s="4"/>
    </row>
    <row r="90" spans="1:118" ht="28.5" hidden="1" customHeight="1" x14ac:dyDescent="0.3">
      <c r="A90" s="259" t="s">
        <v>210</v>
      </c>
      <c r="B90" s="208"/>
      <c r="C90" s="211"/>
      <c r="D90" s="210"/>
      <c r="E90" s="211"/>
      <c r="F90" s="212"/>
      <c r="G90" s="211"/>
      <c r="H90" s="212"/>
      <c r="I90" s="211"/>
      <c r="J90" s="212"/>
      <c r="K90" s="211"/>
      <c r="L90" s="212"/>
      <c r="M90" s="211"/>
      <c r="N90" s="212"/>
      <c r="O90" s="211"/>
      <c r="P90" s="212"/>
      <c r="Q90" s="211"/>
      <c r="R90" s="212"/>
      <c r="S90" s="211"/>
      <c r="T90" s="213"/>
      <c r="U90" s="218"/>
      <c r="V90" s="214"/>
      <c r="W90" s="211"/>
      <c r="X90" s="214"/>
      <c r="Y90" s="211"/>
      <c r="Z90" s="212"/>
      <c r="AA90" s="211"/>
      <c r="AB90" s="212"/>
      <c r="AC90" s="211"/>
      <c r="AD90" s="215"/>
      <c r="AE90" s="211"/>
      <c r="AF90" s="212"/>
      <c r="AG90" s="211"/>
      <c r="AH90" s="212"/>
      <c r="AI90" s="211"/>
      <c r="AJ90" s="212"/>
      <c r="AK90" s="211"/>
      <c r="AL90" s="212"/>
      <c r="AM90" s="211"/>
      <c r="AN90" s="212"/>
      <c r="AO90" s="211"/>
      <c r="AP90" s="212"/>
      <c r="AQ90" s="211"/>
      <c r="AR90" s="212"/>
      <c r="AS90" s="211"/>
      <c r="AT90" s="212"/>
      <c r="AU90" s="211"/>
      <c r="AV90" s="216"/>
      <c r="AW90" s="211"/>
      <c r="AX90" s="212"/>
      <c r="AY90" s="211"/>
      <c r="AZ90" s="212"/>
      <c r="BA90" s="211"/>
      <c r="BB90" s="212"/>
      <c r="BC90" s="211"/>
      <c r="BD90" s="212"/>
      <c r="BE90" s="211"/>
      <c r="BF90" s="212"/>
      <c r="BG90" s="211"/>
      <c r="BH90" s="212"/>
      <c r="BI90" s="211"/>
      <c r="BJ90" s="212"/>
      <c r="BK90" s="211"/>
      <c r="BL90" s="212"/>
      <c r="BM90" s="211"/>
      <c r="BN90" s="216"/>
      <c r="BO90" s="211"/>
      <c r="BP90" s="217"/>
      <c r="BQ90" s="211"/>
      <c r="BR90" s="208"/>
      <c r="BS90" s="208"/>
      <c r="BT90" s="212"/>
      <c r="BU90" s="209"/>
      <c r="BV90" s="212"/>
      <c r="BW90" s="211"/>
      <c r="BX90" s="215"/>
      <c r="BY90" s="211"/>
      <c r="BZ90" s="212"/>
      <c r="CA90" s="211"/>
      <c r="CB90" s="212"/>
      <c r="CC90" s="211"/>
      <c r="CD90" s="208"/>
      <c r="CE90" s="211"/>
      <c r="CF90" s="212"/>
      <c r="CG90" s="211"/>
      <c r="CH90" s="212"/>
      <c r="CI90" s="211"/>
      <c r="CJ90" s="212"/>
      <c r="CK90" s="211"/>
      <c r="CL90" s="215"/>
      <c r="CM90" s="211"/>
      <c r="CN90" s="220"/>
      <c r="CO90" s="209"/>
      <c r="CP90" s="220"/>
      <c r="CQ90" s="220"/>
      <c r="CR90" s="212"/>
      <c r="CS90" s="211"/>
      <c r="CT90" s="212"/>
      <c r="CU90" s="211"/>
      <c r="CV90" s="212"/>
      <c r="CW90" s="211"/>
      <c r="CX90" s="220"/>
      <c r="CY90" s="209"/>
      <c r="CZ90" s="208"/>
      <c r="DA90" s="211"/>
      <c r="DB90" s="221"/>
      <c r="DC90" s="222"/>
      <c r="DD90" s="221"/>
      <c r="DE90" s="222"/>
      <c r="DF90" s="223">
        <f t="shared" si="29"/>
        <v>0</v>
      </c>
      <c r="DG90" s="222">
        <f t="shared" si="30"/>
        <v>0</v>
      </c>
      <c r="DH90" s="249">
        <f t="shared" si="27"/>
        <v>0</v>
      </c>
      <c r="DI90" s="222">
        <f t="shared" si="28"/>
        <v>0</v>
      </c>
      <c r="DJ90" s="223"/>
      <c r="DK90" s="222"/>
      <c r="DL90" s="7"/>
      <c r="DM90" s="7"/>
      <c r="DN90" s="4"/>
    </row>
    <row r="91" spans="1:118" ht="14.25" customHeight="1" x14ac:dyDescent="0.3">
      <c r="A91" s="208" t="s">
        <v>211</v>
      </c>
      <c r="B91" s="208"/>
      <c r="C91" s="211"/>
      <c r="D91" s="210"/>
      <c r="E91" s="211"/>
      <c r="F91" s="212"/>
      <c r="G91" s="211"/>
      <c r="H91" s="212"/>
      <c r="I91" s="211"/>
      <c r="J91" s="212"/>
      <c r="K91" s="211"/>
      <c r="L91" s="212"/>
      <c r="M91" s="211"/>
      <c r="N91" s="212"/>
      <c r="O91" s="211"/>
      <c r="P91" s="212"/>
      <c r="Q91" s="211"/>
      <c r="R91" s="212"/>
      <c r="S91" s="211"/>
      <c r="T91" s="213"/>
      <c r="U91" s="218"/>
      <c r="V91" s="214"/>
      <c r="W91" s="211"/>
      <c r="X91" s="214"/>
      <c r="Y91" s="211"/>
      <c r="Z91" s="212">
        <v>1</v>
      </c>
      <c r="AA91" s="211">
        <v>3600</v>
      </c>
      <c r="AB91" s="212"/>
      <c r="AC91" s="211"/>
      <c r="AD91" s="215">
        <v>1</v>
      </c>
      <c r="AE91" s="211">
        <v>3000</v>
      </c>
      <c r="AF91" s="212"/>
      <c r="AG91" s="211"/>
      <c r="AH91" s="212"/>
      <c r="AI91" s="211"/>
      <c r="AJ91" s="212"/>
      <c r="AK91" s="211"/>
      <c r="AL91" s="212"/>
      <c r="AM91" s="211"/>
      <c r="AN91" s="212"/>
      <c r="AO91" s="211"/>
      <c r="AP91" s="212"/>
      <c r="AQ91" s="211"/>
      <c r="AR91" s="212"/>
      <c r="AS91" s="211"/>
      <c r="AT91" s="212"/>
      <c r="AU91" s="211"/>
      <c r="AV91" s="216"/>
      <c r="AW91" s="211"/>
      <c r="AX91" s="212"/>
      <c r="AY91" s="211"/>
      <c r="AZ91" s="212"/>
      <c r="BA91" s="211"/>
      <c r="BB91" s="212"/>
      <c r="BC91" s="211"/>
      <c r="BD91" s="212"/>
      <c r="BE91" s="211"/>
      <c r="BF91" s="212"/>
      <c r="BG91" s="211"/>
      <c r="BH91" s="212"/>
      <c r="BI91" s="211"/>
      <c r="BJ91" s="212"/>
      <c r="BK91" s="211"/>
      <c r="BL91" s="212"/>
      <c r="BM91" s="211"/>
      <c r="BN91" s="216"/>
      <c r="BO91" s="211"/>
      <c r="BP91" s="217"/>
      <c r="BQ91" s="211"/>
      <c r="BR91" s="208"/>
      <c r="BS91" s="208"/>
      <c r="BT91" s="212"/>
      <c r="BU91" s="209"/>
      <c r="BV91" s="212"/>
      <c r="BW91" s="211"/>
      <c r="BX91" s="215"/>
      <c r="BY91" s="211"/>
      <c r="BZ91" s="212"/>
      <c r="CA91" s="211"/>
      <c r="CB91" s="212"/>
      <c r="CC91" s="211"/>
      <c r="CD91" s="208">
        <v>1</v>
      </c>
      <c r="CE91" s="211">
        <v>600</v>
      </c>
      <c r="CF91" s="212"/>
      <c r="CG91" s="211"/>
      <c r="CH91" s="212"/>
      <c r="CI91" s="211"/>
      <c r="CJ91" s="212"/>
      <c r="CK91" s="211"/>
      <c r="CL91" s="215"/>
      <c r="CM91" s="211"/>
      <c r="CN91" s="220"/>
      <c r="CO91" s="209"/>
      <c r="CP91" s="220"/>
      <c r="CQ91" s="220"/>
      <c r="CR91" s="212"/>
      <c r="CS91" s="211"/>
      <c r="CT91" s="212"/>
      <c r="CU91" s="211"/>
      <c r="CV91" s="212"/>
      <c r="CW91" s="211"/>
      <c r="CX91" s="220"/>
      <c r="CY91" s="209"/>
      <c r="CZ91" s="208"/>
      <c r="DA91" s="211"/>
      <c r="DB91" s="221"/>
      <c r="DC91" s="222"/>
      <c r="DD91" s="221"/>
      <c r="DE91" s="222"/>
      <c r="DF91" s="223">
        <f t="shared" si="29"/>
        <v>0</v>
      </c>
      <c r="DG91" s="222">
        <f t="shared" si="30"/>
        <v>0</v>
      </c>
      <c r="DH91" s="249">
        <f t="shared" si="27"/>
        <v>3</v>
      </c>
      <c r="DI91" s="222">
        <f t="shared" si="28"/>
        <v>7200</v>
      </c>
      <c r="DJ91" s="223">
        <f>DH91+27</f>
        <v>30</v>
      </c>
      <c r="DK91" s="222">
        <f>DI91+24739</f>
        <v>31939</v>
      </c>
      <c r="DL91" s="7"/>
      <c r="DM91" s="7"/>
      <c r="DN91" s="4"/>
    </row>
    <row r="92" spans="1:118" ht="26.4" hidden="1" x14ac:dyDescent="0.3">
      <c r="A92" s="259" t="s">
        <v>212</v>
      </c>
      <c r="B92" s="208"/>
      <c r="C92" s="211"/>
      <c r="D92" s="210"/>
      <c r="E92" s="211"/>
      <c r="F92" s="212"/>
      <c r="G92" s="211"/>
      <c r="H92" s="212"/>
      <c r="I92" s="211"/>
      <c r="J92" s="212"/>
      <c r="K92" s="211"/>
      <c r="L92" s="212"/>
      <c r="M92" s="211"/>
      <c r="N92" s="212"/>
      <c r="O92" s="211"/>
      <c r="P92" s="212"/>
      <c r="Q92" s="211"/>
      <c r="R92" s="212"/>
      <c r="S92" s="211"/>
      <c r="T92" s="213"/>
      <c r="U92" s="218"/>
      <c r="V92" s="214"/>
      <c r="W92" s="211"/>
      <c r="X92" s="214"/>
      <c r="Y92" s="211"/>
      <c r="Z92" s="212"/>
      <c r="AA92" s="211"/>
      <c r="AB92" s="212"/>
      <c r="AC92" s="211"/>
      <c r="AD92" s="215"/>
      <c r="AE92" s="211"/>
      <c r="AF92" s="212"/>
      <c r="AG92" s="211"/>
      <c r="AH92" s="212"/>
      <c r="AI92" s="211"/>
      <c r="AJ92" s="212"/>
      <c r="AK92" s="211"/>
      <c r="AL92" s="212"/>
      <c r="AM92" s="211"/>
      <c r="AN92" s="212"/>
      <c r="AO92" s="211"/>
      <c r="AP92" s="212"/>
      <c r="AQ92" s="211"/>
      <c r="AR92" s="212"/>
      <c r="AS92" s="211"/>
      <c r="AT92" s="212"/>
      <c r="AU92" s="211"/>
      <c r="AV92" s="216"/>
      <c r="AW92" s="211"/>
      <c r="AX92" s="212"/>
      <c r="AY92" s="211"/>
      <c r="AZ92" s="212"/>
      <c r="BA92" s="211"/>
      <c r="BB92" s="212"/>
      <c r="BC92" s="211"/>
      <c r="BD92" s="212"/>
      <c r="BE92" s="211"/>
      <c r="BF92" s="212"/>
      <c r="BG92" s="211"/>
      <c r="BH92" s="212"/>
      <c r="BI92" s="211"/>
      <c r="BJ92" s="212"/>
      <c r="BK92" s="211"/>
      <c r="BL92" s="212"/>
      <c r="BM92" s="211"/>
      <c r="BN92" s="216"/>
      <c r="BO92" s="211"/>
      <c r="BP92" s="217"/>
      <c r="BQ92" s="211"/>
      <c r="BR92" s="208"/>
      <c r="BS92" s="208"/>
      <c r="BT92" s="212"/>
      <c r="BU92" s="209"/>
      <c r="BV92" s="212"/>
      <c r="BW92" s="211"/>
      <c r="BX92" s="215"/>
      <c r="BY92" s="211"/>
      <c r="BZ92" s="212"/>
      <c r="CA92" s="211"/>
      <c r="CB92" s="212"/>
      <c r="CC92" s="211"/>
      <c r="CD92" s="208"/>
      <c r="CE92" s="211"/>
      <c r="CF92" s="212"/>
      <c r="CG92" s="211"/>
      <c r="CH92" s="212"/>
      <c r="CI92" s="211"/>
      <c r="CJ92" s="212"/>
      <c r="CK92" s="211"/>
      <c r="CL92" s="215"/>
      <c r="CM92" s="211"/>
      <c r="CN92" s="220"/>
      <c r="CO92" s="209"/>
      <c r="CP92" s="220"/>
      <c r="CQ92" s="220"/>
      <c r="CR92" s="212"/>
      <c r="CS92" s="211"/>
      <c r="CT92" s="212"/>
      <c r="CU92" s="211"/>
      <c r="CV92" s="212"/>
      <c r="CW92" s="211"/>
      <c r="CX92" s="220"/>
      <c r="CY92" s="209"/>
      <c r="CZ92" s="208"/>
      <c r="DA92" s="211"/>
      <c r="DB92" s="221"/>
      <c r="DC92" s="222"/>
      <c r="DD92" s="221"/>
      <c r="DE92" s="222"/>
      <c r="DF92" s="223">
        <f t="shared" si="29"/>
        <v>0</v>
      </c>
      <c r="DG92" s="222">
        <f t="shared" si="30"/>
        <v>0</v>
      </c>
      <c r="DH92" s="249">
        <f t="shared" si="27"/>
        <v>0</v>
      </c>
      <c r="DI92" s="222">
        <f t="shared" si="28"/>
        <v>0</v>
      </c>
      <c r="DJ92" s="223"/>
      <c r="DK92" s="222"/>
      <c r="DL92" s="7"/>
      <c r="DM92" s="7"/>
      <c r="DN92" s="4"/>
    </row>
    <row r="93" spans="1:118" ht="16.5" customHeight="1" x14ac:dyDescent="0.3">
      <c r="A93" s="208" t="s">
        <v>213</v>
      </c>
      <c r="B93" s="208"/>
      <c r="C93" s="211"/>
      <c r="D93" s="210"/>
      <c r="E93" s="211"/>
      <c r="F93" s="212"/>
      <c r="G93" s="211"/>
      <c r="H93" s="212"/>
      <c r="I93" s="211"/>
      <c r="J93" s="212"/>
      <c r="K93" s="211"/>
      <c r="L93" s="212"/>
      <c r="M93" s="211"/>
      <c r="N93" s="212"/>
      <c r="O93" s="211"/>
      <c r="P93" s="212"/>
      <c r="Q93" s="211"/>
      <c r="R93" s="212"/>
      <c r="S93" s="211"/>
      <c r="T93" s="213"/>
      <c r="U93" s="218"/>
      <c r="V93" s="214"/>
      <c r="W93" s="211"/>
      <c r="X93" s="214"/>
      <c r="Y93" s="211"/>
      <c r="Z93" s="212"/>
      <c r="AA93" s="211"/>
      <c r="AB93" s="212"/>
      <c r="AC93" s="211"/>
      <c r="AD93" s="215">
        <v>1</v>
      </c>
      <c r="AE93" s="211">
        <v>900</v>
      </c>
      <c r="AF93" s="212">
        <v>1</v>
      </c>
      <c r="AG93" s="211">
        <v>500</v>
      </c>
      <c r="AH93" s="212"/>
      <c r="AI93" s="211"/>
      <c r="AJ93" s="212"/>
      <c r="AK93" s="211"/>
      <c r="AL93" s="212">
        <v>1</v>
      </c>
      <c r="AM93" s="211">
        <v>900</v>
      </c>
      <c r="AN93" s="212"/>
      <c r="AO93" s="211"/>
      <c r="AP93" s="212">
        <v>1</v>
      </c>
      <c r="AQ93" s="211">
        <v>1000</v>
      </c>
      <c r="AR93" s="212"/>
      <c r="AS93" s="211"/>
      <c r="AT93" s="212"/>
      <c r="AU93" s="211"/>
      <c r="AV93" s="216"/>
      <c r="AW93" s="211"/>
      <c r="AX93" s="212"/>
      <c r="AY93" s="211"/>
      <c r="AZ93" s="212"/>
      <c r="BA93" s="211"/>
      <c r="BB93" s="212"/>
      <c r="BC93" s="211"/>
      <c r="BD93" s="212"/>
      <c r="BE93" s="211"/>
      <c r="BF93" s="212"/>
      <c r="BG93" s="211"/>
      <c r="BH93" s="212"/>
      <c r="BI93" s="211"/>
      <c r="BJ93" s="212"/>
      <c r="BK93" s="211"/>
      <c r="BL93" s="212"/>
      <c r="BM93" s="211"/>
      <c r="BN93" s="216"/>
      <c r="BO93" s="211"/>
      <c r="BP93" s="217"/>
      <c r="BQ93" s="211"/>
      <c r="BR93" s="208"/>
      <c r="BS93" s="208"/>
      <c r="BT93" s="212"/>
      <c r="BU93" s="209"/>
      <c r="BV93" s="212"/>
      <c r="BW93" s="211"/>
      <c r="BX93" s="215"/>
      <c r="BY93" s="211"/>
      <c r="BZ93" s="212"/>
      <c r="CA93" s="211"/>
      <c r="CB93" s="212"/>
      <c r="CC93" s="211"/>
      <c r="CD93" s="208">
        <v>1</v>
      </c>
      <c r="CE93" s="211">
        <v>300</v>
      </c>
      <c r="CF93" s="212"/>
      <c r="CG93" s="211"/>
      <c r="CH93" s="212"/>
      <c r="CI93" s="211"/>
      <c r="CJ93" s="212"/>
      <c r="CK93" s="211"/>
      <c r="CL93" s="215"/>
      <c r="CM93" s="211"/>
      <c r="CN93" s="220"/>
      <c r="CO93" s="209"/>
      <c r="CP93" s="220"/>
      <c r="CQ93" s="220"/>
      <c r="CR93" s="212"/>
      <c r="CS93" s="211"/>
      <c r="CT93" s="212"/>
      <c r="CU93" s="211"/>
      <c r="CV93" s="212"/>
      <c r="CW93" s="211"/>
      <c r="CX93" s="220"/>
      <c r="CY93" s="209"/>
      <c r="CZ93" s="208"/>
      <c r="DA93" s="211"/>
      <c r="DB93" s="221">
        <v>1</v>
      </c>
      <c r="DC93" s="222">
        <v>300</v>
      </c>
      <c r="DD93" s="221"/>
      <c r="DE93" s="222"/>
      <c r="DF93" s="223">
        <f t="shared" si="29"/>
        <v>1</v>
      </c>
      <c r="DG93" s="222">
        <f t="shared" si="30"/>
        <v>300</v>
      </c>
      <c r="DH93" s="249">
        <f t="shared" si="27"/>
        <v>6</v>
      </c>
      <c r="DI93" s="222">
        <f t="shared" si="28"/>
        <v>3900</v>
      </c>
      <c r="DJ93" s="223">
        <f>DH93+42</f>
        <v>48</v>
      </c>
      <c r="DK93" s="222">
        <f>DI93+65829</f>
        <v>69729</v>
      </c>
      <c r="DL93" s="7"/>
      <c r="DM93" s="7"/>
      <c r="DN93" s="4"/>
    </row>
    <row r="94" spans="1:118" ht="39.6" hidden="1" x14ac:dyDescent="0.3">
      <c r="A94" s="259" t="s">
        <v>214</v>
      </c>
      <c r="B94" s="208"/>
      <c r="C94" s="211"/>
      <c r="D94" s="210"/>
      <c r="E94" s="211"/>
      <c r="F94" s="212"/>
      <c r="G94" s="211"/>
      <c r="H94" s="212"/>
      <c r="I94" s="211"/>
      <c r="J94" s="212"/>
      <c r="K94" s="211"/>
      <c r="L94" s="212"/>
      <c r="M94" s="211"/>
      <c r="N94" s="212"/>
      <c r="O94" s="211"/>
      <c r="P94" s="212"/>
      <c r="Q94" s="211"/>
      <c r="R94" s="212"/>
      <c r="S94" s="211"/>
      <c r="T94" s="213"/>
      <c r="U94" s="218"/>
      <c r="V94" s="214"/>
      <c r="W94" s="211"/>
      <c r="X94" s="214"/>
      <c r="Y94" s="211"/>
      <c r="Z94" s="212"/>
      <c r="AA94" s="211"/>
      <c r="AB94" s="212"/>
      <c r="AC94" s="211"/>
      <c r="AD94" s="215"/>
      <c r="AE94" s="211"/>
      <c r="AF94" s="212"/>
      <c r="AG94" s="211"/>
      <c r="AH94" s="212"/>
      <c r="AI94" s="211"/>
      <c r="AJ94" s="212"/>
      <c r="AK94" s="211"/>
      <c r="AL94" s="212"/>
      <c r="AM94" s="211"/>
      <c r="AN94" s="212"/>
      <c r="AO94" s="211"/>
      <c r="AP94" s="212"/>
      <c r="AQ94" s="211"/>
      <c r="AR94" s="212"/>
      <c r="AS94" s="211"/>
      <c r="AT94" s="212"/>
      <c r="AU94" s="211"/>
      <c r="AV94" s="216"/>
      <c r="AW94" s="211"/>
      <c r="AX94" s="212"/>
      <c r="AY94" s="211"/>
      <c r="AZ94" s="212"/>
      <c r="BA94" s="211"/>
      <c r="BB94" s="212"/>
      <c r="BC94" s="211"/>
      <c r="BD94" s="212"/>
      <c r="BE94" s="211"/>
      <c r="BF94" s="212"/>
      <c r="BG94" s="211"/>
      <c r="BH94" s="212"/>
      <c r="BI94" s="211"/>
      <c r="BJ94" s="212"/>
      <c r="BK94" s="211"/>
      <c r="BL94" s="212"/>
      <c r="BM94" s="211"/>
      <c r="BN94" s="216"/>
      <c r="BO94" s="211"/>
      <c r="BP94" s="217"/>
      <c r="BQ94" s="211"/>
      <c r="BR94" s="208"/>
      <c r="BS94" s="208"/>
      <c r="BT94" s="212"/>
      <c r="BU94" s="209"/>
      <c r="BV94" s="212"/>
      <c r="BW94" s="211"/>
      <c r="BX94" s="215"/>
      <c r="BY94" s="211"/>
      <c r="BZ94" s="212"/>
      <c r="CA94" s="211"/>
      <c r="CB94" s="212"/>
      <c r="CC94" s="211"/>
      <c r="CD94" s="208"/>
      <c r="CE94" s="211"/>
      <c r="CF94" s="212"/>
      <c r="CG94" s="211"/>
      <c r="CH94" s="212"/>
      <c r="CI94" s="211"/>
      <c r="CJ94" s="212"/>
      <c r="CK94" s="211"/>
      <c r="CL94" s="215"/>
      <c r="CM94" s="211"/>
      <c r="CN94" s="220"/>
      <c r="CO94" s="209"/>
      <c r="CP94" s="220"/>
      <c r="CQ94" s="220"/>
      <c r="CR94" s="212"/>
      <c r="CS94" s="211"/>
      <c r="CT94" s="212"/>
      <c r="CU94" s="211"/>
      <c r="CV94" s="212"/>
      <c r="CW94" s="211"/>
      <c r="CX94" s="220"/>
      <c r="CY94" s="209"/>
      <c r="CZ94" s="208"/>
      <c r="DA94" s="211"/>
      <c r="DB94" s="221"/>
      <c r="DC94" s="222"/>
      <c r="DD94" s="221"/>
      <c r="DE94" s="222"/>
      <c r="DF94" s="223">
        <f t="shared" si="29"/>
        <v>0</v>
      </c>
      <c r="DG94" s="222">
        <f t="shared" si="30"/>
        <v>0</v>
      </c>
      <c r="DH94" s="249">
        <f t="shared" si="27"/>
        <v>0</v>
      </c>
      <c r="DI94" s="222">
        <f t="shared" si="28"/>
        <v>0</v>
      </c>
      <c r="DJ94" s="223"/>
      <c r="DK94" s="222"/>
      <c r="DL94" s="7"/>
      <c r="DM94" s="7"/>
      <c r="DN94" s="4"/>
    </row>
    <row r="95" spans="1:118" ht="20.25" customHeight="1" x14ac:dyDescent="0.3">
      <c r="A95" s="208" t="s">
        <v>215</v>
      </c>
      <c r="B95" s="208">
        <v>1</v>
      </c>
      <c r="C95" s="211">
        <v>1500</v>
      </c>
      <c r="D95" s="210"/>
      <c r="E95" s="211"/>
      <c r="F95" s="212"/>
      <c r="G95" s="211"/>
      <c r="H95" s="212"/>
      <c r="I95" s="211"/>
      <c r="J95" s="212"/>
      <c r="K95" s="211"/>
      <c r="L95" s="212"/>
      <c r="M95" s="211"/>
      <c r="N95" s="212"/>
      <c r="O95" s="211"/>
      <c r="P95" s="212"/>
      <c r="Q95" s="211"/>
      <c r="R95" s="212"/>
      <c r="S95" s="211"/>
      <c r="T95" s="213"/>
      <c r="U95" s="218"/>
      <c r="V95" s="214">
        <v>1</v>
      </c>
      <c r="W95" s="211">
        <v>4270</v>
      </c>
      <c r="X95" s="214"/>
      <c r="Y95" s="211"/>
      <c r="Z95" s="212"/>
      <c r="AA95" s="211"/>
      <c r="AB95" s="212"/>
      <c r="AC95" s="211"/>
      <c r="AD95" s="215">
        <v>1</v>
      </c>
      <c r="AE95" s="211">
        <v>300</v>
      </c>
      <c r="AF95" s="212"/>
      <c r="AG95" s="211"/>
      <c r="AH95" s="212"/>
      <c r="AI95" s="211"/>
      <c r="AJ95" s="212">
        <v>1</v>
      </c>
      <c r="AK95" s="211">
        <v>3000</v>
      </c>
      <c r="AL95" s="212"/>
      <c r="AM95" s="211"/>
      <c r="AN95" s="212"/>
      <c r="AO95" s="211"/>
      <c r="AP95" s="212"/>
      <c r="AQ95" s="211"/>
      <c r="AR95" s="212"/>
      <c r="AS95" s="211"/>
      <c r="AT95" s="212">
        <v>1</v>
      </c>
      <c r="AU95" s="211">
        <v>3000</v>
      </c>
      <c r="AV95" s="216"/>
      <c r="AW95" s="211"/>
      <c r="AX95" s="212"/>
      <c r="AY95" s="211"/>
      <c r="AZ95" s="212"/>
      <c r="BA95" s="211"/>
      <c r="BB95" s="212"/>
      <c r="BC95" s="211"/>
      <c r="BD95" s="212"/>
      <c r="BE95" s="211"/>
      <c r="BF95" s="212"/>
      <c r="BG95" s="211"/>
      <c r="BH95" s="212"/>
      <c r="BI95" s="211"/>
      <c r="BJ95" s="212"/>
      <c r="BK95" s="211"/>
      <c r="BL95" s="212"/>
      <c r="BM95" s="211"/>
      <c r="BN95" s="216">
        <v>1</v>
      </c>
      <c r="BO95" s="211">
        <v>3000</v>
      </c>
      <c r="BP95" s="217"/>
      <c r="BQ95" s="211"/>
      <c r="BR95" s="208"/>
      <c r="BS95" s="208"/>
      <c r="BT95" s="212"/>
      <c r="BU95" s="209"/>
      <c r="BV95" s="212"/>
      <c r="BW95" s="211"/>
      <c r="BX95" s="215"/>
      <c r="BY95" s="211"/>
      <c r="BZ95" s="212"/>
      <c r="CA95" s="211"/>
      <c r="CB95" s="212"/>
      <c r="CC95" s="211"/>
      <c r="CD95" s="208"/>
      <c r="CE95" s="211"/>
      <c r="CF95" s="212"/>
      <c r="CG95" s="211"/>
      <c r="CH95" s="212"/>
      <c r="CI95" s="211"/>
      <c r="CJ95" s="212"/>
      <c r="CK95" s="211"/>
      <c r="CL95" s="215"/>
      <c r="CM95" s="211"/>
      <c r="CN95" s="220"/>
      <c r="CO95" s="209"/>
      <c r="CP95" s="220"/>
      <c r="CQ95" s="220"/>
      <c r="CR95" s="212"/>
      <c r="CS95" s="211"/>
      <c r="CT95" s="212"/>
      <c r="CU95" s="211"/>
      <c r="CV95" s="212"/>
      <c r="CW95" s="211"/>
      <c r="CX95" s="220"/>
      <c r="CY95" s="209"/>
      <c r="CZ95" s="208"/>
      <c r="DA95" s="211"/>
      <c r="DB95" s="221"/>
      <c r="DC95" s="222"/>
      <c r="DD95" s="221"/>
      <c r="DE95" s="222"/>
      <c r="DF95" s="223">
        <f t="shared" si="29"/>
        <v>0</v>
      </c>
      <c r="DG95" s="222">
        <f t="shared" si="30"/>
        <v>0</v>
      </c>
      <c r="DH95" s="249">
        <f t="shared" si="27"/>
        <v>6</v>
      </c>
      <c r="DI95" s="222">
        <f t="shared" si="28"/>
        <v>15070</v>
      </c>
      <c r="DJ95" s="223">
        <f>DH95+78</f>
        <v>84</v>
      </c>
      <c r="DK95" s="222">
        <f>DI95+167014</f>
        <v>182084</v>
      </c>
      <c r="DL95" s="7"/>
      <c r="DM95" s="7"/>
      <c r="DN95" s="4"/>
    </row>
    <row r="96" spans="1:118" s="280" customFormat="1" ht="24" hidden="1" x14ac:dyDescent="0.3">
      <c r="A96" s="281" t="s">
        <v>216</v>
      </c>
      <c r="B96" s="208"/>
      <c r="C96" s="282"/>
      <c r="D96" s="283"/>
      <c r="E96" s="282"/>
      <c r="F96" s="282"/>
      <c r="G96" s="282"/>
      <c r="H96" s="282"/>
      <c r="I96" s="282"/>
      <c r="J96" s="282"/>
      <c r="K96" s="282"/>
      <c r="L96" s="282"/>
      <c r="M96" s="282"/>
      <c r="N96" s="282"/>
      <c r="O96" s="282"/>
      <c r="P96" s="282"/>
      <c r="Q96" s="282"/>
      <c r="R96" s="282"/>
      <c r="S96" s="282"/>
      <c r="T96" s="284"/>
      <c r="U96" s="284"/>
      <c r="V96" s="282"/>
      <c r="W96" s="282"/>
      <c r="X96" s="282"/>
      <c r="Y96" s="282"/>
      <c r="Z96" s="282"/>
      <c r="AA96" s="282"/>
      <c r="AB96" s="282"/>
      <c r="AC96" s="282"/>
      <c r="AD96" s="282"/>
      <c r="AE96" s="282"/>
      <c r="AF96" s="282"/>
      <c r="AG96" s="282"/>
      <c r="AH96" s="282"/>
      <c r="AI96" s="282"/>
      <c r="AJ96" s="282"/>
      <c r="AK96" s="282"/>
      <c r="AL96" s="282"/>
      <c r="AM96" s="282"/>
      <c r="AN96" s="282"/>
      <c r="AO96" s="282"/>
      <c r="AP96" s="282"/>
      <c r="AQ96" s="282"/>
      <c r="AR96" s="282"/>
      <c r="AS96" s="282"/>
      <c r="AT96" s="282"/>
      <c r="AU96" s="282"/>
      <c r="AV96" s="282"/>
      <c r="AW96" s="282"/>
      <c r="AX96" s="282"/>
      <c r="AY96" s="282"/>
      <c r="AZ96" s="282"/>
      <c r="BA96" s="282"/>
      <c r="BB96" s="282"/>
      <c r="BC96" s="282"/>
      <c r="BD96" s="282"/>
      <c r="BE96" s="282"/>
      <c r="BF96" s="282"/>
      <c r="BG96" s="282"/>
      <c r="BH96" s="282"/>
      <c r="BI96" s="282"/>
      <c r="BJ96" s="282"/>
      <c r="BK96" s="282"/>
      <c r="BL96" s="282"/>
      <c r="BM96" s="282"/>
      <c r="BN96" s="282"/>
      <c r="BO96" s="282"/>
      <c r="BP96" s="284"/>
      <c r="BQ96" s="282"/>
      <c r="BR96" s="282"/>
      <c r="BS96" s="282"/>
      <c r="BT96" s="282"/>
      <c r="BU96" s="285"/>
      <c r="BV96" s="282"/>
      <c r="BW96" s="282"/>
      <c r="BX96" s="282"/>
      <c r="BY96" s="282"/>
      <c r="BZ96" s="282"/>
      <c r="CA96" s="282"/>
      <c r="CB96" s="282"/>
      <c r="CC96" s="282"/>
      <c r="CD96" s="282"/>
      <c r="CE96" s="282"/>
      <c r="CF96" s="282"/>
      <c r="CG96" s="282"/>
      <c r="CH96" s="282"/>
      <c r="CI96" s="282"/>
      <c r="CJ96" s="282"/>
      <c r="CK96" s="282"/>
      <c r="CL96" s="282"/>
      <c r="CM96" s="282"/>
      <c r="CN96" s="285"/>
      <c r="CO96" s="285"/>
      <c r="CP96" s="285"/>
      <c r="CQ96" s="285"/>
      <c r="CR96" s="282"/>
      <c r="CS96" s="282"/>
      <c r="CT96" s="282"/>
      <c r="CU96" s="282"/>
      <c r="CV96" s="212"/>
      <c r="CW96" s="211"/>
      <c r="CX96" s="285"/>
      <c r="CY96" s="285"/>
      <c r="CZ96" s="282"/>
      <c r="DA96" s="282"/>
      <c r="DB96" s="286"/>
      <c r="DC96" s="286"/>
      <c r="DD96" s="286"/>
      <c r="DE96" s="286"/>
      <c r="DF96" s="223">
        <f t="shared" si="29"/>
        <v>0</v>
      </c>
      <c r="DG96" s="222">
        <f t="shared" si="30"/>
        <v>0</v>
      </c>
      <c r="DH96" s="249">
        <f t="shared" si="27"/>
        <v>0</v>
      </c>
      <c r="DI96" s="222">
        <f t="shared" si="28"/>
        <v>0</v>
      </c>
      <c r="DJ96" s="286"/>
      <c r="DK96" s="286"/>
    </row>
    <row r="97" spans="1:118" ht="18.75" customHeight="1" x14ac:dyDescent="0.3">
      <c r="A97" s="208" t="s">
        <v>217</v>
      </c>
      <c r="B97" s="208"/>
      <c r="C97" s="211"/>
      <c r="D97" s="210"/>
      <c r="E97" s="211"/>
      <c r="F97" s="212"/>
      <c r="G97" s="211"/>
      <c r="H97" s="212"/>
      <c r="I97" s="211"/>
      <c r="J97" s="212"/>
      <c r="K97" s="211"/>
      <c r="L97" s="212"/>
      <c r="M97" s="211"/>
      <c r="N97" s="212"/>
      <c r="O97" s="211"/>
      <c r="P97" s="212"/>
      <c r="Q97" s="211"/>
      <c r="R97" s="212"/>
      <c r="S97" s="211"/>
      <c r="T97" s="213">
        <v>1</v>
      </c>
      <c r="U97" s="218">
        <v>900</v>
      </c>
      <c r="V97" s="214">
        <v>1</v>
      </c>
      <c r="W97" s="211">
        <v>780</v>
      </c>
      <c r="X97" s="214"/>
      <c r="Y97" s="211"/>
      <c r="Z97" s="212"/>
      <c r="AA97" s="211"/>
      <c r="AB97" s="212"/>
      <c r="AC97" s="211"/>
      <c r="AD97" s="215"/>
      <c r="AE97" s="211"/>
      <c r="AF97" s="212"/>
      <c r="AG97" s="211"/>
      <c r="AH97" s="212"/>
      <c r="AI97" s="211"/>
      <c r="AJ97" s="212"/>
      <c r="AK97" s="211"/>
      <c r="AL97" s="212">
        <v>1</v>
      </c>
      <c r="AM97" s="211">
        <v>300</v>
      </c>
      <c r="AN97" s="212"/>
      <c r="AO97" s="211"/>
      <c r="AP97" s="212"/>
      <c r="AQ97" s="211"/>
      <c r="AR97" s="212"/>
      <c r="AS97" s="211"/>
      <c r="AT97" s="212"/>
      <c r="AU97" s="211"/>
      <c r="AV97" s="216"/>
      <c r="AW97" s="211"/>
      <c r="AX97" s="212"/>
      <c r="AY97" s="211"/>
      <c r="AZ97" s="212"/>
      <c r="BA97" s="211"/>
      <c r="BB97" s="212">
        <v>1</v>
      </c>
      <c r="BC97" s="211">
        <v>800</v>
      </c>
      <c r="BD97" s="212"/>
      <c r="BE97" s="211"/>
      <c r="BF97" s="212"/>
      <c r="BG97" s="211"/>
      <c r="BH97" s="212"/>
      <c r="BI97" s="211"/>
      <c r="BJ97" s="212"/>
      <c r="BK97" s="211"/>
      <c r="BL97" s="212">
        <v>1</v>
      </c>
      <c r="BM97" s="211">
        <v>150</v>
      </c>
      <c r="BN97" s="216">
        <v>1</v>
      </c>
      <c r="BO97" s="211">
        <v>2000</v>
      </c>
      <c r="BP97" s="213"/>
      <c r="BQ97" s="211"/>
      <c r="BR97" s="208"/>
      <c r="BS97" s="208"/>
      <c r="BT97" s="212"/>
      <c r="BU97" s="209"/>
      <c r="BV97" s="212"/>
      <c r="BW97" s="211"/>
      <c r="BX97" s="215">
        <v>1</v>
      </c>
      <c r="BY97" s="211">
        <v>300</v>
      </c>
      <c r="BZ97" s="212"/>
      <c r="CA97" s="211"/>
      <c r="CB97" s="212"/>
      <c r="CC97" s="211"/>
      <c r="CD97" s="208"/>
      <c r="CE97" s="211"/>
      <c r="CF97" s="212"/>
      <c r="CG97" s="211"/>
      <c r="CH97" s="212"/>
      <c r="CI97" s="211"/>
      <c r="CJ97" s="212"/>
      <c r="CK97" s="211"/>
      <c r="CL97" s="215"/>
      <c r="CM97" s="211"/>
      <c r="CN97" s="220"/>
      <c r="CO97" s="209"/>
      <c r="CP97" s="220"/>
      <c r="CQ97" s="220"/>
      <c r="CR97" s="212"/>
      <c r="CS97" s="211"/>
      <c r="CT97" s="212"/>
      <c r="CU97" s="211"/>
      <c r="CV97" s="212"/>
      <c r="CW97" s="211"/>
      <c r="CX97" s="220"/>
      <c r="CY97" s="209"/>
      <c r="CZ97" s="208"/>
      <c r="DA97" s="211"/>
      <c r="DB97" s="221"/>
      <c r="DC97" s="222"/>
      <c r="DD97" s="221"/>
      <c r="DE97" s="222"/>
      <c r="DF97" s="223">
        <f t="shared" si="29"/>
        <v>0</v>
      </c>
      <c r="DG97" s="222">
        <f t="shared" si="30"/>
        <v>0</v>
      </c>
      <c r="DH97" s="249">
        <f t="shared" si="27"/>
        <v>7</v>
      </c>
      <c r="DI97" s="222">
        <f t="shared" si="28"/>
        <v>5230</v>
      </c>
      <c r="DJ97" s="223">
        <f>DH97+36</f>
        <v>43</v>
      </c>
      <c r="DK97" s="222">
        <f>DI97+54750</f>
        <v>59980</v>
      </c>
      <c r="DL97" s="7"/>
      <c r="DM97" s="7"/>
      <c r="DN97" s="4"/>
    </row>
    <row r="98" spans="1:118" ht="52.8" hidden="1" x14ac:dyDescent="0.3">
      <c r="A98" s="259" t="s">
        <v>218</v>
      </c>
      <c r="B98" s="208"/>
      <c r="C98" s="211"/>
      <c r="D98" s="210"/>
      <c r="E98" s="211"/>
      <c r="F98" s="212"/>
      <c r="G98" s="211"/>
      <c r="H98" s="212"/>
      <c r="I98" s="211"/>
      <c r="J98" s="212"/>
      <c r="K98" s="211"/>
      <c r="L98" s="212"/>
      <c r="M98" s="211"/>
      <c r="N98" s="212"/>
      <c r="O98" s="211"/>
      <c r="P98" s="212"/>
      <c r="Q98" s="211"/>
      <c r="R98" s="212"/>
      <c r="S98" s="211"/>
      <c r="T98" s="213"/>
      <c r="U98" s="218"/>
      <c r="V98" s="214"/>
      <c r="W98" s="211"/>
      <c r="X98" s="214"/>
      <c r="Y98" s="211"/>
      <c r="Z98" s="212"/>
      <c r="AA98" s="211"/>
      <c r="AB98" s="212"/>
      <c r="AC98" s="211"/>
      <c r="AD98" s="215"/>
      <c r="AE98" s="211"/>
      <c r="AF98" s="212"/>
      <c r="AG98" s="211"/>
      <c r="AH98" s="212"/>
      <c r="AI98" s="211"/>
      <c r="AJ98" s="212"/>
      <c r="AK98" s="211"/>
      <c r="AL98" s="212"/>
      <c r="AM98" s="211"/>
      <c r="AN98" s="212"/>
      <c r="AO98" s="211"/>
      <c r="AP98" s="212"/>
      <c r="AQ98" s="211"/>
      <c r="AR98" s="212"/>
      <c r="AS98" s="211"/>
      <c r="AT98" s="212"/>
      <c r="AU98" s="211"/>
      <c r="AV98" s="216"/>
      <c r="AW98" s="211"/>
      <c r="AX98" s="212"/>
      <c r="AY98" s="211"/>
      <c r="AZ98" s="212"/>
      <c r="BA98" s="211"/>
      <c r="BB98" s="212"/>
      <c r="BC98" s="211"/>
      <c r="BD98" s="212"/>
      <c r="BE98" s="211"/>
      <c r="BF98" s="212"/>
      <c r="BG98" s="211"/>
      <c r="BH98" s="212"/>
      <c r="BI98" s="211"/>
      <c r="BJ98" s="212"/>
      <c r="BK98" s="211"/>
      <c r="BL98" s="212"/>
      <c r="BM98" s="211"/>
      <c r="BN98" s="216"/>
      <c r="BO98" s="211"/>
      <c r="BP98" s="217"/>
      <c r="BQ98" s="211"/>
      <c r="BR98" s="208"/>
      <c r="BS98" s="208"/>
      <c r="BT98" s="212"/>
      <c r="BU98" s="209"/>
      <c r="BV98" s="212"/>
      <c r="BW98" s="211"/>
      <c r="BX98" s="215"/>
      <c r="BY98" s="211"/>
      <c r="BZ98" s="212"/>
      <c r="CA98" s="211"/>
      <c r="CB98" s="212"/>
      <c r="CC98" s="211"/>
      <c r="CD98" s="208"/>
      <c r="CE98" s="211"/>
      <c r="CF98" s="212"/>
      <c r="CG98" s="211"/>
      <c r="CH98" s="212"/>
      <c r="CI98" s="211"/>
      <c r="CJ98" s="212"/>
      <c r="CK98" s="211"/>
      <c r="CL98" s="215"/>
      <c r="CM98" s="211"/>
      <c r="CN98" s="220"/>
      <c r="CO98" s="209"/>
      <c r="CP98" s="220"/>
      <c r="CQ98" s="220"/>
      <c r="CR98" s="212"/>
      <c r="CS98" s="211"/>
      <c r="CT98" s="212"/>
      <c r="CU98" s="211"/>
      <c r="CV98" s="212"/>
      <c r="CW98" s="211"/>
      <c r="CX98" s="220"/>
      <c r="CY98" s="209"/>
      <c r="CZ98" s="208"/>
      <c r="DA98" s="211"/>
      <c r="DB98" s="221"/>
      <c r="DC98" s="222"/>
      <c r="DD98" s="221"/>
      <c r="DE98" s="222"/>
      <c r="DF98" s="223">
        <f t="shared" si="29"/>
        <v>0</v>
      </c>
      <c r="DG98" s="222">
        <f t="shared" si="30"/>
        <v>0</v>
      </c>
      <c r="DH98" s="249">
        <f t="shared" si="27"/>
        <v>0</v>
      </c>
      <c r="DI98" s="222">
        <f t="shared" si="28"/>
        <v>0</v>
      </c>
      <c r="DJ98" s="223"/>
      <c r="DK98" s="222"/>
      <c r="DL98" s="7"/>
      <c r="DM98" s="7"/>
      <c r="DN98" s="4"/>
    </row>
    <row r="99" spans="1:118" ht="15.75" customHeight="1" x14ac:dyDescent="0.3">
      <c r="A99" s="208" t="s">
        <v>219</v>
      </c>
      <c r="B99" s="208"/>
      <c r="C99" s="211"/>
      <c r="D99" s="210"/>
      <c r="E99" s="211"/>
      <c r="F99" s="212"/>
      <c r="G99" s="211"/>
      <c r="H99" s="212"/>
      <c r="I99" s="211"/>
      <c r="J99" s="212"/>
      <c r="K99" s="211"/>
      <c r="L99" s="212"/>
      <c r="M99" s="211"/>
      <c r="N99" s="212"/>
      <c r="O99" s="211"/>
      <c r="P99" s="212"/>
      <c r="Q99" s="211"/>
      <c r="R99" s="212"/>
      <c r="S99" s="211"/>
      <c r="T99" s="213"/>
      <c r="U99" s="218"/>
      <c r="V99" s="214"/>
      <c r="W99" s="211"/>
      <c r="X99" s="214"/>
      <c r="Y99" s="211"/>
      <c r="Z99" s="212"/>
      <c r="AA99" s="211"/>
      <c r="AB99" s="212"/>
      <c r="AC99" s="211"/>
      <c r="AD99" s="215"/>
      <c r="AE99" s="211"/>
      <c r="AF99" s="212"/>
      <c r="AG99" s="211"/>
      <c r="AH99" s="212"/>
      <c r="AI99" s="211"/>
      <c r="AJ99" s="212"/>
      <c r="AK99" s="211"/>
      <c r="AL99" s="212"/>
      <c r="AM99" s="211"/>
      <c r="AN99" s="212">
        <v>1</v>
      </c>
      <c r="AO99" s="211">
        <v>300</v>
      </c>
      <c r="AP99" s="212"/>
      <c r="AQ99" s="211"/>
      <c r="AR99" s="212"/>
      <c r="AS99" s="211"/>
      <c r="AT99" s="212"/>
      <c r="AU99" s="211"/>
      <c r="AV99" s="216"/>
      <c r="AW99" s="211"/>
      <c r="AX99" s="212"/>
      <c r="AY99" s="211"/>
      <c r="AZ99" s="212"/>
      <c r="BA99" s="211"/>
      <c r="BB99" s="212"/>
      <c r="BC99" s="211"/>
      <c r="BD99" s="212"/>
      <c r="BE99" s="211"/>
      <c r="BF99" s="212"/>
      <c r="BG99" s="211"/>
      <c r="BH99" s="212"/>
      <c r="BI99" s="211"/>
      <c r="BJ99" s="212">
        <v>1</v>
      </c>
      <c r="BK99" s="211">
        <v>1800</v>
      </c>
      <c r="BL99" s="212"/>
      <c r="BM99" s="211"/>
      <c r="BN99" s="216"/>
      <c r="BO99" s="211"/>
      <c r="BP99" s="217"/>
      <c r="BQ99" s="211"/>
      <c r="BR99" s="208"/>
      <c r="BS99" s="279"/>
      <c r="BT99" s="212"/>
      <c r="BU99" s="209"/>
      <c r="BV99" s="212"/>
      <c r="BW99" s="211"/>
      <c r="BX99" s="215">
        <v>1</v>
      </c>
      <c r="BY99" s="211">
        <v>3000</v>
      </c>
      <c r="BZ99" s="212"/>
      <c r="CA99" s="211"/>
      <c r="CB99" s="212"/>
      <c r="CC99" s="211"/>
      <c r="CD99" s="208"/>
      <c r="CE99" s="211"/>
      <c r="CF99" s="212"/>
      <c r="CG99" s="211"/>
      <c r="CH99" s="212"/>
      <c r="CI99" s="211"/>
      <c r="CJ99" s="212"/>
      <c r="CK99" s="211"/>
      <c r="CL99" s="215"/>
      <c r="CM99" s="211"/>
      <c r="CN99" s="220"/>
      <c r="CO99" s="209"/>
      <c r="CP99" s="220"/>
      <c r="CQ99" s="220"/>
      <c r="CR99" s="212"/>
      <c r="CS99" s="211"/>
      <c r="CT99" s="212"/>
      <c r="CU99" s="211"/>
      <c r="CV99" s="212"/>
      <c r="CW99" s="211"/>
      <c r="CX99" s="220"/>
      <c r="CY99" s="209"/>
      <c r="CZ99" s="208"/>
      <c r="DA99" s="211"/>
      <c r="DB99" s="221"/>
      <c r="DC99" s="222"/>
      <c r="DD99" s="221"/>
      <c r="DE99" s="222"/>
      <c r="DF99" s="223">
        <f t="shared" si="29"/>
        <v>0</v>
      </c>
      <c r="DG99" s="222">
        <f t="shared" si="30"/>
        <v>0</v>
      </c>
      <c r="DH99" s="249">
        <f t="shared" si="27"/>
        <v>3</v>
      </c>
      <c r="DI99" s="222">
        <f t="shared" si="28"/>
        <v>5100</v>
      </c>
      <c r="DJ99" s="223">
        <f>DH99+63</f>
        <v>66</v>
      </c>
      <c r="DK99" s="222">
        <f>DI99+77538</f>
        <v>82638</v>
      </c>
      <c r="DL99" s="7"/>
      <c r="DM99" s="7"/>
      <c r="DN99" s="4"/>
    </row>
    <row r="100" spans="1:118" ht="46.8" hidden="1" x14ac:dyDescent="0.3">
      <c r="A100" s="208" t="s">
        <v>220</v>
      </c>
      <c r="B100" s="208"/>
      <c r="C100" s="211"/>
      <c r="D100" s="210"/>
      <c r="E100" s="211"/>
      <c r="F100" s="212"/>
      <c r="G100" s="211"/>
      <c r="H100" s="212"/>
      <c r="I100" s="211"/>
      <c r="J100" s="212"/>
      <c r="K100" s="211"/>
      <c r="L100" s="212"/>
      <c r="M100" s="211"/>
      <c r="N100" s="212"/>
      <c r="O100" s="211"/>
      <c r="P100" s="212"/>
      <c r="Q100" s="211"/>
      <c r="R100" s="212"/>
      <c r="S100" s="211"/>
      <c r="T100" s="213"/>
      <c r="U100" s="218"/>
      <c r="V100" s="214"/>
      <c r="W100" s="211"/>
      <c r="X100" s="214"/>
      <c r="Y100" s="211"/>
      <c r="Z100" s="212"/>
      <c r="AA100" s="211"/>
      <c r="AB100" s="212"/>
      <c r="AC100" s="211"/>
      <c r="AD100" s="215"/>
      <c r="AE100" s="211"/>
      <c r="AF100" s="212"/>
      <c r="AG100" s="211"/>
      <c r="AH100" s="212"/>
      <c r="AI100" s="211"/>
      <c r="AJ100" s="212"/>
      <c r="AK100" s="211"/>
      <c r="AL100" s="212"/>
      <c r="AM100" s="211"/>
      <c r="AN100" s="212"/>
      <c r="AO100" s="211"/>
      <c r="AP100" s="212"/>
      <c r="AQ100" s="211"/>
      <c r="AR100" s="212"/>
      <c r="AS100" s="211"/>
      <c r="AT100" s="212"/>
      <c r="AU100" s="211"/>
      <c r="AV100" s="216"/>
      <c r="AW100" s="211"/>
      <c r="AX100" s="212"/>
      <c r="AY100" s="211"/>
      <c r="AZ100" s="212"/>
      <c r="BA100" s="211"/>
      <c r="BB100" s="212"/>
      <c r="BC100" s="211"/>
      <c r="BD100" s="212"/>
      <c r="BE100" s="211"/>
      <c r="BF100" s="212"/>
      <c r="BG100" s="211"/>
      <c r="BH100" s="212"/>
      <c r="BI100" s="211"/>
      <c r="BJ100" s="212"/>
      <c r="BK100" s="211"/>
      <c r="BL100" s="212"/>
      <c r="BM100" s="211"/>
      <c r="BN100" s="216"/>
      <c r="BO100" s="211"/>
      <c r="BP100" s="217"/>
      <c r="BQ100" s="211"/>
      <c r="BR100" s="208"/>
      <c r="BS100" s="279"/>
      <c r="BT100" s="212"/>
      <c r="BU100" s="209"/>
      <c r="BV100" s="212"/>
      <c r="BW100" s="211"/>
      <c r="BX100" s="215"/>
      <c r="BY100" s="211"/>
      <c r="BZ100" s="212"/>
      <c r="CA100" s="211"/>
      <c r="CB100" s="212"/>
      <c r="CC100" s="211"/>
      <c r="CD100" s="208"/>
      <c r="CE100" s="211"/>
      <c r="CF100" s="212"/>
      <c r="CG100" s="211"/>
      <c r="CH100" s="212"/>
      <c r="CI100" s="211"/>
      <c r="CJ100" s="212"/>
      <c r="CK100" s="211"/>
      <c r="CL100" s="215"/>
      <c r="CM100" s="211"/>
      <c r="CN100" s="220"/>
      <c r="CO100" s="209"/>
      <c r="CP100" s="220"/>
      <c r="CQ100" s="220"/>
      <c r="CR100" s="212"/>
      <c r="CS100" s="211"/>
      <c r="CT100" s="212"/>
      <c r="CU100" s="211"/>
      <c r="CV100" s="212"/>
      <c r="CW100" s="211"/>
      <c r="CX100" s="220"/>
      <c r="CY100" s="209"/>
      <c r="CZ100" s="208"/>
      <c r="DA100" s="211"/>
      <c r="DB100" s="221"/>
      <c r="DC100" s="222"/>
      <c r="DD100" s="221"/>
      <c r="DE100" s="222"/>
      <c r="DF100" s="223">
        <f t="shared" si="29"/>
        <v>0</v>
      </c>
      <c r="DG100" s="222">
        <f t="shared" si="30"/>
        <v>0</v>
      </c>
      <c r="DH100" s="249">
        <f t="shared" si="27"/>
        <v>0</v>
      </c>
      <c r="DI100" s="222">
        <f t="shared" si="28"/>
        <v>0</v>
      </c>
      <c r="DJ100" s="223"/>
      <c r="DK100" s="222"/>
      <c r="DL100" s="7"/>
      <c r="DM100" s="7"/>
      <c r="DN100" s="4"/>
    </row>
    <row r="101" spans="1:118" x14ac:dyDescent="0.3">
      <c r="A101" s="208" t="s">
        <v>221</v>
      </c>
      <c r="B101" s="208"/>
      <c r="C101" s="211"/>
      <c r="D101" s="210"/>
      <c r="E101" s="211"/>
      <c r="F101" s="212"/>
      <c r="G101" s="211"/>
      <c r="H101" s="212"/>
      <c r="I101" s="211"/>
      <c r="J101" s="212"/>
      <c r="K101" s="211"/>
      <c r="L101" s="212"/>
      <c r="M101" s="211"/>
      <c r="N101" s="212"/>
      <c r="O101" s="211"/>
      <c r="P101" s="212"/>
      <c r="Q101" s="211"/>
      <c r="R101" s="212"/>
      <c r="S101" s="211"/>
      <c r="T101" s="213"/>
      <c r="U101" s="218"/>
      <c r="V101" s="214"/>
      <c r="W101" s="211"/>
      <c r="X101" s="214"/>
      <c r="Y101" s="211"/>
      <c r="Z101" s="212">
        <v>1</v>
      </c>
      <c r="AA101" s="211">
        <v>1300</v>
      </c>
      <c r="AB101" s="212"/>
      <c r="AC101" s="211"/>
      <c r="AD101" s="215"/>
      <c r="AE101" s="211"/>
      <c r="AF101" s="212">
        <v>1</v>
      </c>
      <c r="AG101" s="211">
        <v>2500</v>
      </c>
      <c r="AH101" s="212"/>
      <c r="AI101" s="211"/>
      <c r="AJ101" s="212"/>
      <c r="AK101" s="211"/>
      <c r="AL101" s="212"/>
      <c r="AM101" s="211"/>
      <c r="AN101" s="212"/>
      <c r="AO101" s="211"/>
      <c r="AP101" s="212"/>
      <c r="AQ101" s="211"/>
      <c r="AR101" s="212"/>
      <c r="AS101" s="211"/>
      <c r="AT101" s="212"/>
      <c r="AU101" s="211"/>
      <c r="AV101" s="216"/>
      <c r="AW101" s="211"/>
      <c r="AX101" s="212"/>
      <c r="AY101" s="211"/>
      <c r="AZ101" s="212"/>
      <c r="BA101" s="211"/>
      <c r="BB101" s="212"/>
      <c r="BC101" s="211"/>
      <c r="BD101" s="212"/>
      <c r="BE101" s="211"/>
      <c r="BF101" s="212"/>
      <c r="BG101" s="211"/>
      <c r="BH101" s="212"/>
      <c r="BI101" s="211"/>
      <c r="BJ101" s="212"/>
      <c r="BK101" s="211"/>
      <c r="BL101" s="212"/>
      <c r="BM101" s="211"/>
      <c r="BN101" s="216"/>
      <c r="BO101" s="211"/>
      <c r="BP101" s="217"/>
      <c r="BQ101" s="211"/>
      <c r="BR101" s="208">
        <v>3</v>
      </c>
      <c r="BS101" s="279">
        <v>3500</v>
      </c>
      <c r="BT101" s="212"/>
      <c r="BU101" s="209"/>
      <c r="BV101" s="212"/>
      <c r="BW101" s="211"/>
      <c r="BX101" s="215"/>
      <c r="BY101" s="211"/>
      <c r="BZ101" s="212"/>
      <c r="CA101" s="211"/>
      <c r="CB101" s="212"/>
      <c r="CC101" s="211"/>
      <c r="CD101" s="208"/>
      <c r="CE101" s="211"/>
      <c r="CF101" s="212"/>
      <c r="CG101" s="211"/>
      <c r="CH101" s="212"/>
      <c r="CI101" s="211"/>
      <c r="CJ101" s="212"/>
      <c r="CK101" s="211"/>
      <c r="CL101" s="215"/>
      <c r="CM101" s="211"/>
      <c r="CN101" s="220"/>
      <c r="CO101" s="209"/>
      <c r="CP101" s="220"/>
      <c r="CQ101" s="220"/>
      <c r="CR101" s="212"/>
      <c r="CS101" s="211"/>
      <c r="CT101" s="212"/>
      <c r="CU101" s="211"/>
      <c r="CV101" s="212"/>
      <c r="CW101" s="211"/>
      <c r="CX101" s="220"/>
      <c r="CY101" s="209"/>
      <c r="CZ101" s="208"/>
      <c r="DA101" s="211"/>
      <c r="DB101" s="221"/>
      <c r="DC101" s="222"/>
      <c r="DD101" s="221"/>
      <c r="DE101" s="222"/>
      <c r="DF101" s="223">
        <f t="shared" si="29"/>
        <v>0</v>
      </c>
      <c r="DG101" s="222">
        <f t="shared" si="30"/>
        <v>0</v>
      </c>
      <c r="DH101" s="249">
        <f t="shared" si="27"/>
        <v>5</v>
      </c>
      <c r="DI101" s="222">
        <f t="shared" si="28"/>
        <v>7300</v>
      </c>
      <c r="DJ101" s="223">
        <f>DH101+100</f>
        <v>105</v>
      </c>
      <c r="DK101" s="222">
        <f>DI101+182895</f>
        <v>190195</v>
      </c>
      <c r="DL101" s="7"/>
      <c r="DM101" s="7"/>
      <c r="DN101" s="4"/>
    </row>
    <row r="102" spans="1:118" s="287" customFormat="1" ht="20.399999999999999" hidden="1" x14ac:dyDescent="0.3">
      <c r="A102" s="288" t="s">
        <v>222</v>
      </c>
      <c r="B102" s="208"/>
      <c r="C102" s="289"/>
      <c r="D102" s="290"/>
      <c r="E102" s="289"/>
      <c r="F102" s="291"/>
      <c r="G102" s="289"/>
      <c r="H102" s="291"/>
      <c r="I102" s="289"/>
      <c r="J102" s="291"/>
      <c r="K102" s="289"/>
      <c r="L102" s="291"/>
      <c r="M102" s="289"/>
      <c r="N102" s="291"/>
      <c r="O102" s="289"/>
      <c r="P102" s="291"/>
      <c r="Q102" s="289"/>
      <c r="R102" s="291"/>
      <c r="S102" s="289"/>
      <c r="T102" s="292"/>
      <c r="U102" s="293"/>
      <c r="V102" s="294"/>
      <c r="W102" s="289"/>
      <c r="X102" s="294"/>
      <c r="Y102" s="289"/>
      <c r="Z102" s="291"/>
      <c r="AA102" s="289"/>
      <c r="AB102" s="291"/>
      <c r="AC102" s="289"/>
      <c r="AD102" s="295"/>
      <c r="AE102" s="289"/>
      <c r="AF102" s="291"/>
      <c r="AG102" s="289"/>
      <c r="AH102" s="291"/>
      <c r="AI102" s="289"/>
      <c r="AJ102" s="291"/>
      <c r="AK102" s="289"/>
      <c r="AL102" s="291"/>
      <c r="AM102" s="289"/>
      <c r="AN102" s="291"/>
      <c r="AO102" s="289"/>
      <c r="AP102" s="291"/>
      <c r="AQ102" s="289"/>
      <c r="AR102" s="291"/>
      <c r="AS102" s="289"/>
      <c r="AT102" s="291"/>
      <c r="AU102" s="289"/>
      <c r="AV102" s="296"/>
      <c r="AW102" s="289"/>
      <c r="AX102" s="291"/>
      <c r="AY102" s="289"/>
      <c r="AZ102" s="291"/>
      <c r="BA102" s="289"/>
      <c r="BB102" s="291"/>
      <c r="BC102" s="289"/>
      <c r="BD102" s="291"/>
      <c r="BE102" s="289"/>
      <c r="BF102" s="291"/>
      <c r="BG102" s="289"/>
      <c r="BH102" s="291"/>
      <c r="BI102" s="289"/>
      <c r="BJ102" s="291"/>
      <c r="BK102" s="289"/>
      <c r="BL102" s="291"/>
      <c r="BM102" s="289"/>
      <c r="BN102" s="296"/>
      <c r="BO102" s="289"/>
      <c r="BP102" s="297"/>
      <c r="BQ102" s="289"/>
      <c r="BR102" s="259"/>
      <c r="BS102" s="298"/>
      <c r="BT102" s="291"/>
      <c r="BU102" s="299"/>
      <c r="BV102" s="291"/>
      <c r="BW102" s="289"/>
      <c r="BX102" s="295"/>
      <c r="BY102" s="289"/>
      <c r="BZ102" s="291"/>
      <c r="CA102" s="289"/>
      <c r="CB102" s="291"/>
      <c r="CC102" s="289"/>
      <c r="CD102" s="259"/>
      <c r="CE102" s="289"/>
      <c r="CF102" s="291"/>
      <c r="CG102" s="289"/>
      <c r="CH102" s="291"/>
      <c r="CI102" s="289"/>
      <c r="CJ102" s="291"/>
      <c r="CK102" s="289"/>
      <c r="CL102" s="295"/>
      <c r="CM102" s="289"/>
      <c r="CN102" s="300"/>
      <c r="CO102" s="299"/>
      <c r="CP102" s="300"/>
      <c r="CQ102" s="300"/>
      <c r="CR102" s="291"/>
      <c r="CS102" s="289"/>
      <c r="CT102" s="291"/>
      <c r="CU102" s="289"/>
      <c r="CV102" s="212"/>
      <c r="CW102" s="211"/>
      <c r="CX102" s="300"/>
      <c r="CY102" s="299"/>
      <c r="CZ102" s="259"/>
      <c r="DA102" s="289"/>
      <c r="DB102" s="301"/>
      <c r="DC102" s="302"/>
      <c r="DD102" s="301"/>
      <c r="DE102" s="302"/>
      <c r="DF102" s="223">
        <f t="shared" si="29"/>
        <v>0</v>
      </c>
      <c r="DG102" s="222">
        <f t="shared" si="30"/>
        <v>0</v>
      </c>
      <c r="DH102" s="249">
        <f t="shared" si="27"/>
        <v>0</v>
      </c>
      <c r="DI102" s="222">
        <f t="shared" si="28"/>
        <v>0</v>
      </c>
      <c r="DJ102" s="303"/>
      <c r="DK102" s="302"/>
      <c r="DL102" s="304"/>
      <c r="DM102" s="304"/>
      <c r="DN102" s="305"/>
    </row>
    <row r="103" spans="1:118" ht="15.75" customHeight="1" x14ac:dyDescent="0.3">
      <c r="A103" s="208" t="s">
        <v>223</v>
      </c>
      <c r="B103" s="208"/>
      <c r="C103" s="211"/>
      <c r="D103" s="210"/>
      <c r="E103" s="211"/>
      <c r="F103" s="212"/>
      <c r="G103" s="211"/>
      <c r="H103" s="212"/>
      <c r="I103" s="211"/>
      <c r="J103" s="212"/>
      <c r="K103" s="211"/>
      <c r="L103" s="212"/>
      <c r="M103" s="211"/>
      <c r="N103" s="212"/>
      <c r="O103" s="211"/>
      <c r="P103" s="212"/>
      <c r="Q103" s="211"/>
      <c r="R103" s="212"/>
      <c r="S103" s="211"/>
      <c r="T103" s="213">
        <v>1</v>
      </c>
      <c r="U103" s="218">
        <v>3000</v>
      </c>
      <c r="V103" s="214"/>
      <c r="W103" s="211"/>
      <c r="X103" s="214"/>
      <c r="Y103" s="211"/>
      <c r="Z103" s="212"/>
      <c r="AA103" s="211"/>
      <c r="AB103" s="212"/>
      <c r="AC103" s="211"/>
      <c r="AD103" s="215"/>
      <c r="AE103" s="211"/>
      <c r="AF103" s="212">
        <v>2</v>
      </c>
      <c r="AG103" s="211">
        <v>7000</v>
      </c>
      <c r="AH103" s="212">
        <v>1</v>
      </c>
      <c r="AI103" s="211">
        <v>900</v>
      </c>
      <c r="AJ103" s="212"/>
      <c r="AK103" s="211"/>
      <c r="AL103" s="212"/>
      <c r="AM103" s="211"/>
      <c r="AN103" s="212"/>
      <c r="AO103" s="211"/>
      <c r="AP103" s="212"/>
      <c r="AQ103" s="211"/>
      <c r="AR103" s="212"/>
      <c r="AS103" s="211"/>
      <c r="AT103" s="212"/>
      <c r="AU103" s="211"/>
      <c r="AV103" s="216"/>
      <c r="AW103" s="211"/>
      <c r="AX103" s="212"/>
      <c r="AY103" s="211"/>
      <c r="AZ103" s="212"/>
      <c r="BA103" s="211"/>
      <c r="BB103" s="212"/>
      <c r="BC103" s="211"/>
      <c r="BD103" s="212"/>
      <c r="BE103" s="211"/>
      <c r="BF103" s="212"/>
      <c r="BG103" s="211"/>
      <c r="BH103" s="212"/>
      <c r="BI103" s="211"/>
      <c r="BJ103" s="212"/>
      <c r="BK103" s="211"/>
      <c r="BL103" s="212"/>
      <c r="BM103" s="211"/>
      <c r="BN103" s="216">
        <v>1</v>
      </c>
      <c r="BO103" s="211">
        <v>480</v>
      </c>
      <c r="BP103" s="217"/>
      <c r="BQ103" s="211"/>
      <c r="BR103" s="208"/>
      <c r="BS103" s="279"/>
      <c r="BT103" s="212"/>
      <c r="BU103" s="209"/>
      <c r="BV103" s="212"/>
      <c r="BW103" s="211"/>
      <c r="BX103" s="215">
        <v>1</v>
      </c>
      <c r="BY103" s="211">
        <v>1500</v>
      </c>
      <c r="BZ103" s="212"/>
      <c r="CA103" s="211"/>
      <c r="CB103" s="212"/>
      <c r="CC103" s="211"/>
      <c r="CD103" s="208"/>
      <c r="CE103" s="211"/>
      <c r="CF103" s="212"/>
      <c r="CG103" s="211"/>
      <c r="CH103" s="212"/>
      <c r="CI103" s="211"/>
      <c r="CJ103" s="212"/>
      <c r="CK103" s="211"/>
      <c r="CL103" s="215"/>
      <c r="CM103" s="211"/>
      <c r="CN103" s="220"/>
      <c r="CO103" s="209"/>
      <c r="CP103" s="220">
        <v>1</v>
      </c>
      <c r="CQ103" s="220">
        <v>3000</v>
      </c>
      <c r="CR103" s="212"/>
      <c r="CS103" s="211"/>
      <c r="CT103" s="212"/>
      <c r="CU103" s="211"/>
      <c r="CV103" s="212"/>
      <c r="CW103" s="211"/>
      <c r="CX103" s="220"/>
      <c r="CY103" s="209"/>
      <c r="CZ103" s="208"/>
      <c r="DA103" s="211"/>
      <c r="DB103" s="221"/>
      <c r="DC103" s="222"/>
      <c r="DD103" s="221"/>
      <c r="DE103" s="222"/>
      <c r="DF103" s="223">
        <f t="shared" si="29"/>
        <v>0</v>
      </c>
      <c r="DG103" s="222">
        <f t="shared" si="30"/>
        <v>0</v>
      </c>
      <c r="DH103" s="249">
        <f t="shared" si="27"/>
        <v>7</v>
      </c>
      <c r="DI103" s="222">
        <f t="shared" si="28"/>
        <v>15880</v>
      </c>
      <c r="DJ103" s="223">
        <f>DH103+94</f>
        <v>101</v>
      </c>
      <c r="DK103" s="222">
        <f>DI103+110225</f>
        <v>126105</v>
      </c>
      <c r="DL103" s="7"/>
      <c r="DM103" s="7"/>
      <c r="DN103" s="4"/>
    </row>
    <row r="104" spans="1:118" ht="60" hidden="1" customHeight="1" x14ac:dyDescent="0.3">
      <c r="A104" s="306" t="s">
        <v>224</v>
      </c>
      <c r="B104" s="208"/>
      <c r="C104" s="211"/>
      <c r="D104" s="210"/>
      <c r="E104" s="211"/>
      <c r="F104" s="212"/>
      <c r="G104" s="211"/>
      <c r="H104" s="212"/>
      <c r="I104" s="211"/>
      <c r="J104" s="212"/>
      <c r="K104" s="211"/>
      <c r="L104" s="212"/>
      <c r="M104" s="211"/>
      <c r="N104" s="212"/>
      <c r="O104" s="211"/>
      <c r="P104" s="212"/>
      <c r="Q104" s="211"/>
      <c r="R104" s="212"/>
      <c r="S104" s="211"/>
      <c r="T104" s="213"/>
      <c r="U104" s="218"/>
      <c r="V104" s="214"/>
      <c r="W104" s="211"/>
      <c r="X104" s="214"/>
      <c r="Y104" s="211"/>
      <c r="Z104" s="212"/>
      <c r="AA104" s="211"/>
      <c r="AB104" s="212"/>
      <c r="AC104" s="211"/>
      <c r="AD104" s="215"/>
      <c r="AE104" s="211"/>
      <c r="AF104" s="212"/>
      <c r="AG104" s="211"/>
      <c r="AH104" s="212"/>
      <c r="AI104" s="211"/>
      <c r="AJ104" s="212"/>
      <c r="AK104" s="211"/>
      <c r="AL104" s="212"/>
      <c r="AM104" s="211"/>
      <c r="AN104" s="212"/>
      <c r="AO104" s="211"/>
      <c r="AP104" s="212"/>
      <c r="AQ104" s="211"/>
      <c r="AR104" s="212"/>
      <c r="AS104" s="211"/>
      <c r="AT104" s="212"/>
      <c r="AU104" s="211"/>
      <c r="AV104" s="216"/>
      <c r="AW104" s="211"/>
      <c r="AX104" s="212"/>
      <c r="AY104" s="211"/>
      <c r="AZ104" s="212"/>
      <c r="BA104" s="211"/>
      <c r="BB104" s="212"/>
      <c r="BC104" s="211"/>
      <c r="BD104" s="212"/>
      <c r="BE104" s="211"/>
      <c r="BF104" s="212"/>
      <c r="BG104" s="211"/>
      <c r="BH104" s="212"/>
      <c r="BI104" s="211"/>
      <c r="BJ104" s="212"/>
      <c r="BK104" s="211"/>
      <c r="BL104" s="212"/>
      <c r="BM104" s="211"/>
      <c r="BN104" s="216"/>
      <c r="BO104" s="211"/>
      <c r="BP104" s="217"/>
      <c r="BQ104" s="211"/>
      <c r="BR104" s="208"/>
      <c r="BS104" s="279"/>
      <c r="BT104" s="212"/>
      <c r="BU104" s="209"/>
      <c r="BV104" s="212"/>
      <c r="BW104" s="211"/>
      <c r="BX104" s="215"/>
      <c r="BY104" s="211"/>
      <c r="BZ104" s="212"/>
      <c r="CA104" s="211"/>
      <c r="CB104" s="212"/>
      <c r="CC104" s="211"/>
      <c r="CD104" s="208"/>
      <c r="CE104" s="211"/>
      <c r="CF104" s="212"/>
      <c r="CG104" s="211"/>
      <c r="CH104" s="212"/>
      <c r="CI104" s="211"/>
      <c r="CJ104" s="212"/>
      <c r="CK104" s="211"/>
      <c r="CL104" s="215"/>
      <c r="CM104" s="211"/>
      <c r="CN104" s="220"/>
      <c r="CO104" s="209"/>
      <c r="CP104" s="220"/>
      <c r="CQ104" s="220"/>
      <c r="CR104" s="212"/>
      <c r="CS104" s="211"/>
      <c r="CT104" s="212"/>
      <c r="CU104" s="211"/>
      <c r="CV104" s="212"/>
      <c r="CW104" s="211"/>
      <c r="CX104" s="220"/>
      <c r="CY104" s="209"/>
      <c r="CZ104" s="208"/>
      <c r="DA104" s="211"/>
      <c r="DB104" s="221"/>
      <c r="DC104" s="222"/>
      <c r="DD104" s="221"/>
      <c r="DE104" s="222"/>
      <c r="DF104" s="223">
        <f t="shared" si="29"/>
        <v>0</v>
      </c>
      <c r="DG104" s="222">
        <f t="shared" si="30"/>
        <v>0</v>
      </c>
      <c r="DH104" s="249">
        <f t="shared" si="27"/>
        <v>0</v>
      </c>
      <c r="DI104" s="222">
        <f t="shared" si="28"/>
        <v>0</v>
      </c>
      <c r="DJ104" s="223"/>
      <c r="DK104" s="222"/>
      <c r="DL104" s="7"/>
      <c r="DM104" s="7"/>
      <c r="DN104" s="4"/>
    </row>
    <row r="105" spans="1:118" ht="18" customHeight="1" x14ac:dyDescent="0.3">
      <c r="A105" s="208" t="s">
        <v>225</v>
      </c>
      <c r="B105" s="208">
        <v>1</v>
      </c>
      <c r="C105" s="211">
        <v>1350</v>
      </c>
      <c r="D105" s="210"/>
      <c r="E105" s="211"/>
      <c r="F105" s="212">
        <v>2</v>
      </c>
      <c r="G105" s="211">
        <v>8000</v>
      </c>
      <c r="H105" s="212">
        <v>1</v>
      </c>
      <c r="I105" s="211">
        <v>500</v>
      </c>
      <c r="J105" s="212">
        <v>1</v>
      </c>
      <c r="K105" s="211">
        <v>3780</v>
      </c>
      <c r="L105" s="212">
        <v>2</v>
      </c>
      <c r="M105" s="211">
        <v>4718</v>
      </c>
      <c r="N105" s="212"/>
      <c r="O105" s="211"/>
      <c r="P105" s="212">
        <v>1</v>
      </c>
      <c r="Q105" s="211">
        <v>300</v>
      </c>
      <c r="R105" s="212">
        <v>1</v>
      </c>
      <c r="S105" s="211">
        <v>3511</v>
      </c>
      <c r="T105" s="213"/>
      <c r="U105" s="218"/>
      <c r="V105" s="214"/>
      <c r="W105" s="211"/>
      <c r="X105" s="214"/>
      <c r="Y105" s="211"/>
      <c r="Z105" s="212"/>
      <c r="AA105" s="211"/>
      <c r="AB105" s="212">
        <v>1</v>
      </c>
      <c r="AC105" s="211">
        <v>3500</v>
      </c>
      <c r="AD105" s="215">
        <v>3</v>
      </c>
      <c r="AE105" s="211">
        <v>5440</v>
      </c>
      <c r="AF105" s="212">
        <v>1</v>
      </c>
      <c r="AG105" s="211">
        <v>1000</v>
      </c>
      <c r="AH105" s="212"/>
      <c r="AI105" s="211"/>
      <c r="AJ105" s="212"/>
      <c r="AK105" s="211"/>
      <c r="AL105" s="212"/>
      <c r="AM105" s="211"/>
      <c r="AN105" s="212">
        <v>2</v>
      </c>
      <c r="AO105" s="211">
        <v>3300</v>
      </c>
      <c r="AP105" s="212"/>
      <c r="AQ105" s="211"/>
      <c r="AR105" s="212"/>
      <c r="AS105" s="211"/>
      <c r="AT105" s="212"/>
      <c r="AU105" s="211"/>
      <c r="AV105" s="216"/>
      <c r="AW105" s="211"/>
      <c r="AX105" s="212">
        <v>1</v>
      </c>
      <c r="AY105" s="211">
        <v>500</v>
      </c>
      <c r="AZ105" s="212"/>
      <c r="BA105" s="211"/>
      <c r="BB105" s="212">
        <v>1</v>
      </c>
      <c r="BC105" s="211">
        <v>300</v>
      </c>
      <c r="BD105" s="212">
        <v>3</v>
      </c>
      <c r="BE105" s="211">
        <v>1600</v>
      </c>
      <c r="BF105" s="212"/>
      <c r="BG105" s="211"/>
      <c r="BH105" s="212"/>
      <c r="BI105" s="211"/>
      <c r="BJ105" s="212">
        <v>1</v>
      </c>
      <c r="BK105" s="211">
        <v>1500</v>
      </c>
      <c r="BL105" s="212">
        <v>1</v>
      </c>
      <c r="BM105" s="211">
        <v>3000</v>
      </c>
      <c r="BN105" s="216"/>
      <c r="BO105" s="211"/>
      <c r="BP105" s="213"/>
      <c r="BQ105" s="211"/>
      <c r="BR105" s="208">
        <v>1</v>
      </c>
      <c r="BS105" s="279">
        <v>3000</v>
      </c>
      <c r="BT105" s="212"/>
      <c r="BU105" s="209"/>
      <c r="BV105" s="212">
        <v>1</v>
      </c>
      <c r="BW105" s="211">
        <v>1900</v>
      </c>
      <c r="BX105" s="215">
        <v>2</v>
      </c>
      <c r="BY105" s="211">
        <v>5500</v>
      </c>
      <c r="BZ105" s="212">
        <v>2</v>
      </c>
      <c r="CA105" s="211">
        <v>3350</v>
      </c>
      <c r="CB105" s="212">
        <v>1</v>
      </c>
      <c r="CC105" s="211">
        <v>1120</v>
      </c>
      <c r="CD105" s="208"/>
      <c r="CE105" s="211"/>
      <c r="CF105" s="212"/>
      <c r="CG105" s="211"/>
      <c r="CH105" s="212"/>
      <c r="CI105" s="211"/>
      <c r="CJ105" s="212"/>
      <c r="CK105" s="211"/>
      <c r="CL105" s="215"/>
      <c r="CM105" s="211"/>
      <c r="CN105" s="220">
        <v>1</v>
      </c>
      <c r="CO105" s="209">
        <v>300</v>
      </c>
      <c r="CP105" s="220"/>
      <c r="CQ105" s="220"/>
      <c r="CR105" s="212">
        <v>2</v>
      </c>
      <c r="CS105" s="211">
        <v>4140</v>
      </c>
      <c r="CT105" s="212"/>
      <c r="CU105" s="211"/>
      <c r="CV105" s="212"/>
      <c r="CW105" s="211"/>
      <c r="CX105" s="220"/>
      <c r="CY105" s="209"/>
      <c r="CZ105" s="208"/>
      <c r="DA105" s="211"/>
      <c r="DB105" s="221">
        <v>1</v>
      </c>
      <c r="DC105" s="222">
        <v>1000</v>
      </c>
      <c r="DD105" s="221">
        <v>4</v>
      </c>
      <c r="DE105" s="222">
        <v>6642</v>
      </c>
      <c r="DF105" s="223">
        <f t="shared" si="29"/>
        <v>5</v>
      </c>
      <c r="DG105" s="222">
        <f t="shared" si="30"/>
        <v>7642</v>
      </c>
      <c r="DH105" s="249">
        <f t="shared" si="27"/>
        <v>38</v>
      </c>
      <c r="DI105" s="222">
        <f t="shared" si="28"/>
        <v>69251</v>
      </c>
      <c r="DJ105" s="223">
        <f>DH105+253</f>
        <v>291</v>
      </c>
      <c r="DK105" s="222">
        <f>DI105+392494</f>
        <v>461745</v>
      </c>
      <c r="DL105" s="7"/>
      <c r="DM105" s="7"/>
      <c r="DN105" s="4"/>
    </row>
    <row r="106" spans="1:118" ht="218.25" hidden="1" customHeight="1" x14ac:dyDescent="0.3">
      <c r="A106" s="259" t="s">
        <v>226</v>
      </c>
      <c r="B106" s="208"/>
      <c r="C106" s="211"/>
      <c r="D106" s="210"/>
      <c r="E106" s="211"/>
      <c r="F106" s="212"/>
      <c r="G106" s="211"/>
      <c r="H106" s="212"/>
      <c r="I106" s="211"/>
      <c r="J106" s="212"/>
      <c r="K106" s="211"/>
      <c r="L106" s="212"/>
      <c r="M106" s="211"/>
      <c r="N106" s="212"/>
      <c r="O106" s="211"/>
      <c r="P106" s="212"/>
      <c r="Q106" s="211"/>
      <c r="R106" s="212"/>
      <c r="S106" s="211"/>
      <c r="T106" s="213"/>
      <c r="U106" s="218"/>
      <c r="V106" s="214"/>
      <c r="W106" s="211"/>
      <c r="X106" s="214"/>
      <c r="Y106" s="211"/>
      <c r="Z106" s="212"/>
      <c r="AA106" s="211"/>
      <c r="AB106" s="212"/>
      <c r="AC106" s="211"/>
      <c r="AD106" s="215"/>
      <c r="AE106" s="211"/>
      <c r="AF106" s="212"/>
      <c r="AG106" s="211"/>
      <c r="AH106" s="212"/>
      <c r="AI106" s="211"/>
      <c r="AJ106" s="212"/>
      <c r="AK106" s="211"/>
      <c r="AL106" s="212"/>
      <c r="AM106" s="211"/>
      <c r="AN106" s="212"/>
      <c r="AO106" s="211"/>
      <c r="AP106" s="212"/>
      <c r="AQ106" s="211"/>
      <c r="AR106" s="212"/>
      <c r="AS106" s="211"/>
      <c r="AT106" s="212"/>
      <c r="AU106" s="211"/>
      <c r="AV106" s="216"/>
      <c r="AW106" s="211"/>
      <c r="AX106" s="212"/>
      <c r="AY106" s="211"/>
      <c r="AZ106" s="212"/>
      <c r="BA106" s="211"/>
      <c r="BB106" s="212"/>
      <c r="BC106" s="211"/>
      <c r="BD106" s="212"/>
      <c r="BE106" s="211"/>
      <c r="BF106" s="212"/>
      <c r="BG106" s="211"/>
      <c r="BH106" s="212"/>
      <c r="BI106" s="211"/>
      <c r="BJ106" s="212"/>
      <c r="BK106" s="211"/>
      <c r="BL106" s="212"/>
      <c r="BM106" s="211"/>
      <c r="BN106" s="216"/>
      <c r="BO106" s="211"/>
      <c r="BP106" s="217"/>
      <c r="BQ106" s="211"/>
      <c r="BR106" s="208"/>
      <c r="BS106" s="279"/>
      <c r="BT106" s="212"/>
      <c r="BU106" s="209"/>
      <c r="BV106" s="212"/>
      <c r="BW106" s="211"/>
      <c r="BX106" s="215"/>
      <c r="BY106" s="211"/>
      <c r="BZ106" s="212"/>
      <c r="CA106" s="211"/>
      <c r="CB106" s="212"/>
      <c r="CC106" s="211"/>
      <c r="CD106" s="208"/>
      <c r="CE106" s="211"/>
      <c r="CF106" s="212"/>
      <c r="CG106" s="211"/>
      <c r="CH106" s="212"/>
      <c r="CI106" s="211"/>
      <c r="CJ106" s="212"/>
      <c r="CK106" s="211"/>
      <c r="CL106" s="215"/>
      <c r="CM106" s="211"/>
      <c r="CN106" s="220"/>
      <c r="CO106" s="209"/>
      <c r="CP106" s="220"/>
      <c r="CQ106" s="220"/>
      <c r="CR106" s="212"/>
      <c r="CS106" s="211"/>
      <c r="CT106" s="212"/>
      <c r="CU106" s="211"/>
      <c r="CV106" s="212"/>
      <c r="CW106" s="211"/>
      <c r="CX106" s="220"/>
      <c r="CY106" s="209"/>
      <c r="CZ106" s="208"/>
      <c r="DA106" s="211"/>
      <c r="DB106" s="221"/>
      <c r="DC106" s="222"/>
      <c r="DD106" s="221"/>
      <c r="DE106" s="222"/>
      <c r="DF106" s="223">
        <f t="shared" si="29"/>
        <v>0</v>
      </c>
      <c r="DG106" s="222">
        <f t="shared" si="30"/>
        <v>0</v>
      </c>
      <c r="DH106" s="249">
        <f t="shared" si="27"/>
        <v>0</v>
      </c>
      <c r="DI106" s="222">
        <f t="shared" si="28"/>
        <v>0</v>
      </c>
      <c r="DJ106" s="223"/>
      <c r="DK106" s="222"/>
      <c r="DL106" s="7"/>
      <c r="DM106" s="7"/>
      <c r="DN106" s="4"/>
    </row>
    <row r="107" spans="1:118" ht="18" customHeight="1" x14ac:dyDescent="0.3">
      <c r="A107" s="208" t="s">
        <v>227</v>
      </c>
      <c r="B107" s="208"/>
      <c r="C107" s="211"/>
      <c r="D107" s="210">
        <v>1</v>
      </c>
      <c r="E107" s="211">
        <v>4470</v>
      </c>
      <c r="F107" s="212"/>
      <c r="G107" s="211"/>
      <c r="H107" s="212"/>
      <c r="I107" s="211"/>
      <c r="J107" s="212"/>
      <c r="K107" s="211"/>
      <c r="L107" s="212"/>
      <c r="M107" s="211"/>
      <c r="N107" s="212">
        <v>1</v>
      </c>
      <c r="O107" s="211">
        <v>4000</v>
      </c>
      <c r="P107" s="212"/>
      <c r="Q107" s="211"/>
      <c r="R107" s="212"/>
      <c r="S107" s="211"/>
      <c r="T107" s="213"/>
      <c r="U107" s="218"/>
      <c r="V107" s="214"/>
      <c r="W107" s="211"/>
      <c r="X107" s="214"/>
      <c r="Y107" s="211"/>
      <c r="Z107" s="212"/>
      <c r="AA107" s="211"/>
      <c r="AB107" s="212"/>
      <c r="AC107" s="211"/>
      <c r="AD107" s="215"/>
      <c r="AE107" s="211"/>
      <c r="AF107" s="212">
        <v>1</v>
      </c>
      <c r="AG107" s="211">
        <v>420</v>
      </c>
      <c r="AH107" s="212"/>
      <c r="AI107" s="211"/>
      <c r="AJ107" s="212"/>
      <c r="AK107" s="211"/>
      <c r="AL107" s="212"/>
      <c r="AM107" s="211"/>
      <c r="AN107" s="212">
        <v>2</v>
      </c>
      <c r="AO107" s="211">
        <v>3400</v>
      </c>
      <c r="AP107" s="212"/>
      <c r="AQ107" s="211"/>
      <c r="AR107" s="212"/>
      <c r="AS107" s="211"/>
      <c r="AT107" s="212"/>
      <c r="AU107" s="211"/>
      <c r="AV107" s="216"/>
      <c r="AW107" s="211"/>
      <c r="AX107" s="212"/>
      <c r="AY107" s="211"/>
      <c r="AZ107" s="212"/>
      <c r="BA107" s="211"/>
      <c r="BB107" s="212"/>
      <c r="BC107" s="211"/>
      <c r="BD107" s="212"/>
      <c r="BE107" s="211"/>
      <c r="BF107" s="212"/>
      <c r="BG107" s="211"/>
      <c r="BH107" s="212"/>
      <c r="BI107" s="211"/>
      <c r="BJ107" s="212"/>
      <c r="BK107" s="211"/>
      <c r="BL107" s="212"/>
      <c r="BM107" s="211"/>
      <c r="BN107" s="216"/>
      <c r="BO107" s="211"/>
      <c r="BP107" s="217"/>
      <c r="BQ107" s="211"/>
      <c r="BR107" s="208"/>
      <c r="BS107" s="279"/>
      <c r="BT107" s="212"/>
      <c r="BU107" s="209"/>
      <c r="BV107" s="212">
        <v>1</v>
      </c>
      <c r="BW107" s="211">
        <v>3000</v>
      </c>
      <c r="BX107" s="215"/>
      <c r="BY107" s="211"/>
      <c r="BZ107" s="212"/>
      <c r="CA107" s="211"/>
      <c r="CB107" s="212">
        <v>1</v>
      </c>
      <c r="CC107" s="211">
        <v>2990</v>
      </c>
      <c r="CD107" s="208"/>
      <c r="CE107" s="211"/>
      <c r="CF107" s="212"/>
      <c r="CG107" s="211"/>
      <c r="CH107" s="212"/>
      <c r="CI107" s="211"/>
      <c r="CJ107" s="212"/>
      <c r="CK107" s="211"/>
      <c r="CL107" s="215"/>
      <c r="CM107" s="211"/>
      <c r="CN107" s="220"/>
      <c r="CO107" s="209"/>
      <c r="CP107" s="220"/>
      <c r="CQ107" s="220"/>
      <c r="CR107" s="212"/>
      <c r="CS107" s="211"/>
      <c r="CT107" s="212"/>
      <c r="CU107" s="211"/>
      <c r="CV107" s="212"/>
      <c r="CW107" s="211"/>
      <c r="CX107" s="220"/>
      <c r="CY107" s="209"/>
      <c r="CZ107" s="208"/>
      <c r="DA107" s="211"/>
      <c r="DB107" s="221"/>
      <c r="DC107" s="222"/>
      <c r="DD107" s="221"/>
      <c r="DE107" s="222"/>
      <c r="DF107" s="223">
        <f t="shared" si="29"/>
        <v>0</v>
      </c>
      <c r="DG107" s="222">
        <f t="shared" si="30"/>
        <v>0</v>
      </c>
      <c r="DH107" s="249">
        <f t="shared" si="27"/>
        <v>7</v>
      </c>
      <c r="DI107" s="222">
        <f t="shared" si="28"/>
        <v>18280</v>
      </c>
      <c r="DJ107" s="223">
        <f>DH107+69</f>
        <v>76</v>
      </c>
      <c r="DK107" s="222">
        <f>DI107+98565</f>
        <v>116845</v>
      </c>
      <c r="DL107" s="7"/>
      <c r="DM107" s="7"/>
      <c r="DN107" s="4"/>
    </row>
    <row r="108" spans="1:118" ht="63" hidden="1" customHeight="1" x14ac:dyDescent="0.3">
      <c r="A108" s="259" t="s">
        <v>228</v>
      </c>
      <c r="B108" s="208"/>
      <c r="C108" s="211"/>
      <c r="D108" s="210"/>
      <c r="E108" s="211"/>
      <c r="F108" s="212"/>
      <c r="G108" s="211"/>
      <c r="H108" s="212"/>
      <c r="I108" s="211"/>
      <c r="J108" s="212"/>
      <c r="K108" s="211"/>
      <c r="L108" s="212"/>
      <c r="M108" s="211"/>
      <c r="N108" s="212"/>
      <c r="O108" s="211"/>
      <c r="P108" s="212"/>
      <c r="Q108" s="211"/>
      <c r="R108" s="212"/>
      <c r="S108" s="211"/>
      <c r="T108" s="213"/>
      <c r="U108" s="218"/>
      <c r="V108" s="214"/>
      <c r="W108" s="211"/>
      <c r="X108" s="214"/>
      <c r="Y108" s="211"/>
      <c r="Z108" s="212"/>
      <c r="AA108" s="211"/>
      <c r="AB108" s="212"/>
      <c r="AC108" s="211"/>
      <c r="AD108" s="215"/>
      <c r="AE108" s="211"/>
      <c r="AF108" s="212"/>
      <c r="AG108" s="211"/>
      <c r="AH108" s="212"/>
      <c r="AI108" s="211"/>
      <c r="AJ108" s="212"/>
      <c r="AK108" s="211"/>
      <c r="AL108" s="212"/>
      <c r="AM108" s="211"/>
      <c r="AN108" s="212"/>
      <c r="AO108" s="211"/>
      <c r="AP108" s="212"/>
      <c r="AQ108" s="211"/>
      <c r="AR108" s="212"/>
      <c r="AS108" s="211"/>
      <c r="AT108" s="212"/>
      <c r="AU108" s="211"/>
      <c r="AV108" s="216"/>
      <c r="AW108" s="211"/>
      <c r="AX108" s="212"/>
      <c r="AY108" s="211"/>
      <c r="AZ108" s="212"/>
      <c r="BA108" s="211"/>
      <c r="BB108" s="212"/>
      <c r="BC108" s="211"/>
      <c r="BD108" s="212"/>
      <c r="BE108" s="211"/>
      <c r="BF108" s="212"/>
      <c r="BG108" s="211"/>
      <c r="BH108" s="212"/>
      <c r="BI108" s="211"/>
      <c r="BJ108" s="212"/>
      <c r="BK108" s="211"/>
      <c r="BL108" s="212"/>
      <c r="BM108" s="211"/>
      <c r="BN108" s="216"/>
      <c r="BO108" s="211"/>
      <c r="BP108" s="217"/>
      <c r="BQ108" s="211"/>
      <c r="BR108" s="208"/>
      <c r="BS108" s="279"/>
      <c r="BT108" s="212"/>
      <c r="BU108" s="209"/>
      <c r="BV108" s="212"/>
      <c r="BW108" s="211"/>
      <c r="BX108" s="215"/>
      <c r="BY108" s="211"/>
      <c r="BZ108" s="212"/>
      <c r="CA108" s="211"/>
      <c r="CB108" s="212"/>
      <c r="CC108" s="211"/>
      <c r="CD108" s="208"/>
      <c r="CE108" s="211"/>
      <c r="CF108" s="212"/>
      <c r="CG108" s="211"/>
      <c r="CH108" s="212"/>
      <c r="CI108" s="211"/>
      <c r="CJ108" s="212"/>
      <c r="CK108" s="211"/>
      <c r="CL108" s="215"/>
      <c r="CM108" s="211"/>
      <c r="CN108" s="220"/>
      <c r="CO108" s="209"/>
      <c r="CP108" s="220"/>
      <c r="CQ108" s="220"/>
      <c r="CR108" s="212"/>
      <c r="CS108" s="211"/>
      <c r="CT108" s="212"/>
      <c r="CU108" s="211"/>
      <c r="CV108" s="212"/>
      <c r="CW108" s="211"/>
      <c r="CX108" s="220"/>
      <c r="CY108" s="209"/>
      <c r="CZ108" s="208"/>
      <c r="DA108" s="211"/>
      <c r="DB108" s="221"/>
      <c r="DC108" s="222"/>
      <c r="DD108" s="221"/>
      <c r="DE108" s="222"/>
      <c r="DF108" s="223">
        <f t="shared" si="29"/>
        <v>0</v>
      </c>
      <c r="DG108" s="222">
        <f t="shared" si="30"/>
        <v>0</v>
      </c>
      <c r="DH108" s="249">
        <f t="shared" si="27"/>
        <v>0</v>
      </c>
      <c r="DI108" s="222">
        <f t="shared" si="28"/>
        <v>0</v>
      </c>
      <c r="DJ108" s="223"/>
      <c r="DK108" s="222"/>
      <c r="DL108" s="7"/>
      <c r="DM108" s="7"/>
      <c r="DN108" s="4"/>
    </row>
    <row r="109" spans="1:118" ht="17.25" customHeight="1" x14ac:dyDescent="0.3">
      <c r="A109" s="208" t="s">
        <v>229</v>
      </c>
      <c r="B109" s="208"/>
      <c r="C109" s="211"/>
      <c r="D109" s="210"/>
      <c r="E109" s="211"/>
      <c r="F109" s="212"/>
      <c r="G109" s="211"/>
      <c r="H109" s="212"/>
      <c r="I109" s="211"/>
      <c r="J109" s="212"/>
      <c r="K109" s="211"/>
      <c r="L109" s="212"/>
      <c r="M109" s="211"/>
      <c r="N109" s="212"/>
      <c r="O109" s="211"/>
      <c r="P109" s="212"/>
      <c r="Q109" s="211"/>
      <c r="R109" s="212"/>
      <c r="S109" s="211"/>
      <c r="T109" s="213"/>
      <c r="U109" s="218"/>
      <c r="V109" s="214"/>
      <c r="W109" s="211"/>
      <c r="X109" s="214"/>
      <c r="Y109" s="211"/>
      <c r="Z109" s="212"/>
      <c r="AA109" s="211"/>
      <c r="AB109" s="212"/>
      <c r="AC109" s="211"/>
      <c r="AD109" s="215"/>
      <c r="AE109" s="211"/>
      <c r="AF109" s="212"/>
      <c r="AG109" s="211"/>
      <c r="AH109" s="212"/>
      <c r="AI109" s="211"/>
      <c r="AJ109" s="212"/>
      <c r="AK109" s="211"/>
      <c r="AL109" s="212"/>
      <c r="AM109" s="211"/>
      <c r="AN109" s="212"/>
      <c r="AO109" s="211"/>
      <c r="AP109" s="212"/>
      <c r="AQ109" s="211"/>
      <c r="AR109" s="212"/>
      <c r="AS109" s="211"/>
      <c r="AT109" s="212"/>
      <c r="AU109" s="211"/>
      <c r="AV109" s="216"/>
      <c r="AW109" s="211"/>
      <c r="AX109" s="212"/>
      <c r="AY109" s="211"/>
      <c r="AZ109" s="212"/>
      <c r="BA109" s="211"/>
      <c r="BB109" s="212"/>
      <c r="BC109" s="211"/>
      <c r="BD109" s="212"/>
      <c r="BE109" s="211"/>
      <c r="BF109" s="212"/>
      <c r="BG109" s="211"/>
      <c r="BH109" s="212"/>
      <c r="BI109" s="211"/>
      <c r="BJ109" s="212"/>
      <c r="BK109" s="211"/>
      <c r="BL109" s="212"/>
      <c r="BM109" s="211"/>
      <c r="BN109" s="216"/>
      <c r="BO109" s="211"/>
      <c r="BP109" s="217"/>
      <c r="BQ109" s="211"/>
      <c r="BR109" s="208"/>
      <c r="BS109" s="279"/>
      <c r="BT109" s="212"/>
      <c r="BU109" s="209"/>
      <c r="BV109" s="212"/>
      <c r="BW109" s="211"/>
      <c r="BX109" s="215"/>
      <c r="BY109" s="211"/>
      <c r="BZ109" s="212"/>
      <c r="CA109" s="211"/>
      <c r="CB109" s="212"/>
      <c r="CC109" s="211"/>
      <c r="CD109" s="208"/>
      <c r="CE109" s="211"/>
      <c r="CF109" s="212"/>
      <c r="CG109" s="211"/>
      <c r="CH109" s="212"/>
      <c r="CI109" s="211"/>
      <c r="CJ109" s="212"/>
      <c r="CK109" s="211"/>
      <c r="CL109" s="215"/>
      <c r="CM109" s="211"/>
      <c r="CN109" s="220"/>
      <c r="CO109" s="209"/>
      <c r="CP109" s="220"/>
      <c r="CQ109" s="220"/>
      <c r="CR109" s="212"/>
      <c r="CS109" s="211"/>
      <c r="CT109" s="212"/>
      <c r="CU109" s="211"/>
      <c r="CV109" s="212"/>
      <c r="CW109" s="211"/>
      <c r="CX109" s="220"/>
      <c r="CY109" s="209"/>
      <c r="CZ109" s="208"/>
      <c r="DA109" s="211"/>
      <c r="DB109" s="221"/>
      <c r="DC109" s="222"/>
      <c r="DD109" s="221"/>
      <c r="DE109" s="222"/>
      <c r="DF109" s="223">
        <f t="shared" si="29"/>
        <v>0</v>
      </c>
      <c r="DG109" s="222">
        <f t="shared" si="30"/>
        <v>0</v>
      </c>
      <c r="DH109" s="249">
        <f t="shared" si="27"/>
        <v>0</v>
      </c>
      <c r="DI109" s="222">
        <f t="shared" si="28"/>
        <v>0</v>
      </c>
      <c r="DJ109" s="223">
        <f>DH109+9</f>
        <v>9</v>
      </c>
      <c r="DK109" s="222">
        <f>DI109+11975</f>
        <v>11975</v>
      </c>
      <c r="DL109" s="7"/>
      <c r="DM109" s="7"/>
      <c r="DN109" s="4"/>
    </row>
    <row r="110" spans="1:118" ht="17.25" hidden="1" customHeight="1" x14ac:dyDescent="0.3">
      <c r="A110" s="208"/>
      <c r="B110" s="208"/>
      <c r="C110" s="211"/>
      <c r="D110" s="210"/>
      <c r="E110" s="211"/>
      <c r="F110" s="212"/>
      <c r="G110" s="211"/>
      <c r="H110" s="212"/>
      <c r="I110" s="211"/>
      <c r="J110" s="212"/>
      <c r="K110" s="211"/>
      <c r="L110" s="212"/>
      <c r="M110" s="211"/>
      <c r="N110" s="212"/>
      <c r="O110" s="211"/>
      <c r="P110" s="212"/>
      <c r="Q110" s="211"/>
      <c r="R110" s="212"/>
      <c r="S110" s="211"/>
      <c r="T110" s="213"/>
      <c r="U110" s="218"/>
      <c r="V110" s="214"/>
      <c r="W110" s="211"/>
      <c r="X110" s="214"/>
      <c r="Y110" s="211"/>
      <c r="Z110" s="212"/>
      <c r="AA110" s="211"/>
      <c r="AB110" s="212"/>
      <c r="AC110" s="211"/>
      <c r="AD110" s="215"/>
      <c r="AE110" s="211"/>
      <c r="AF110" s="212"/>
      <c r="AG110" s="211"/>
      <c r="AH110" s="212"/>
      <c r="AI110" s="211"/>
      <c r="AJ110" s="212"/>
      <c r="AK110" s="211"/>
      <c r="AL110" s="212"/>
      <c r="AM110" s="211"/>
      <c r="AN110" s="212"/>
      <c r="AO110" s="211"/>
      <c r="AP110" s="212"/>
      <c r="AQ110" s="211"/>
      <c r="AR110" s="212"/>
      <c r="AS110" s="211"/>
      <c r="AT110" s="212"/>
      <c r="AU110" s="211"/>
      <c r="AV110" s="216"/>
      <c r="AW110" s="211"/>
      <c r="AX110" s="212"/>
      <c r="AY110" s="211"/>
      <c r="AZ110" s="212"/>
      <c r="BA110" s="211"/>
      <c r="BB110" s="212"/>
      <c r="BC110" s="211"/>
      <c r="BD110" s="212"/>
      <c r="BE110" s="211"/>
      <c r="BF110" s="212"/>
      <c r="BG110" s="211"/>
      <c r="BH110" s="212"/>
      <c r="BI110" s="211"/>
      <c r="BJ110" s="212"/>
      <c r="BK110" s="211"/>
      <c r="BL110" s="212"/>
      <c r="BM110" s="211"/>
      <c r="BN110" s="216"/>
      <c r="BO110" s="211"/>
      <c r="BP110" s="217"/>
      <c r="BQ110" s="211"/>
      <c r="BR110" s="208"/>
      <c r="BS110" s="279"/>
      <c r="BT110" s="212"/>
      <c r="BU110" s="209"/>
      <c r="BV110" s="212"/>
      <c r="BW110" s="211"/>
      <c r="BX110" s="215"/>
      <c r="BY110" s="211"/>
      <c r="BZ110" s="212"/>
      <c r="CA110" s="211"/>
      <c r="CB110" s="212"/>
      <c r="CC110" s="211"/>
      <c r="CD110" s="208"/>
      <c r="CE110" s="211"/>
      <c r="CF110" s="212"/>
      <c r="CG110" s="211"/>
      <c r="CH110" s="212"/>
      <c r="CI110" s="211"/>
      <c r="CJ110" s="212"/>
      <c r="CK110" s="211"/>
      <c r="CL110" s="215"/>
      <c r="CM110" s="211"/>
      <c r="CN110" s="220"/>
      <c r="CO110" s="209"/>
      <c r="CP110" s="220"/>
      <c r="CQ110" s="220"/>
      <c r="CR110" s="212"/>
      <c r="CS110" s="211"/>
      <c r="CT110" s="212"/>
      <c r="CU110" s="211"/>
      <c r="CV110" s="212"/>
      <c r="CW110" s="211"/>
      <c r="CX110" s="220"/>
      <c r="CY110" s="209"/>
      <c r="CZ110" s="208"/>
      <c r="DA110" s="211"/>
      <c r="DB110" s="221"/>
      <c r="DC110" s="222"/>
      <c r="DD110" s="221"/>
      <c r="DE110" s="222"/>
      <c r="DF110" s="223">
        <f t="shared" si="29"/>
        <v>0</v>
      </c>
      <c r="DG110" s="222">
        <f t="shared" si="30"/>
        <v>0</v>
      </c>
      <c r="DH110" s="249">
        <f t="shared" si="27"/>
        <v>0</v>
      </c>
      <c r="DI110" s="222">
        <f t="shared" si="28"/>
        <v>0</v>
      </c>
      <c r="DJ110" s="223"/>
      <c r="DK110" s="222"/>
      <c r="DL110" s="7"/>
      <c r="DM110" s="7"/>
      <c r="DN110" s="4"/>
    </row>
    <row r="111" spans="1:118" ht="14.25" customHeight="1" x14ac:dyDescent="0.3">
      <c r="A111" s="208" t="s">
        <v>230</v>
      </c>
      <c r="B111" s="208"/>
      <c r="C111" s="211"/>
      <c r="D111" s="210"/>
      <c r="E111" s="211"/>
      <c r="F111" s="212"/>
      <c r="G111" s="211"/>
      <c r="H111" s="212"/>
      <c r="I111" s="211"/>
      <c r="J111" s="212"/>
      <c r="K111" s="211"/>
      <c r="L111" s="212"/>
      <c r="M111" s="211"/>
      <c r="N111" s="212"/>
      <c r="O111" s="211"/>
      <c r="P111" s="212"/>
      <c r="Q111" s="211"/>
      <c r="R111" s="212"/>
      <c r="S111" s="211"/>
      <c r="T111" s="213"/>
      <c r="U111" s="218"/>
      <c r="V111" s="214"/>
      <c r="W111" s="211"/>
      <c r="X111" s="214"/>
      <c r="Y111" s="211"/>
      <c r="Z111" s="212">
        <v>2</v>
      </c>
      <c r="AA111" s="211">
        <v>5000</v>
      </c>
      <c r="AB111" s="212">
        <v>1</v>
      </c>
      <c r="AC111" s="211">
        <v>3000</v>
      </c>
      <c r="AD111" s="215"/>
      <c r="AE111" s="211"/>
      <c r="AF111" s="212"/>
      <c r="AG111" s="211"/>
      <c r="AH111" s="212"/>
      <c r="AI111" s="211"/>
      <c r="AJ111" s="212"/>
      <c r="AK111" s="211"/>
      <c r="AL111" s="212">
        <v>1</v>
      </c>
      <c r="AM111" s="211">
        <v>1750</v>
      </c>
      <c r="AN111" s="212"/>
      <c r="AO111" s="211"/>
      <c r="AP111" s="212"/>
      <c r="AQ111" s="211"/>
      <c r="AR111" s="212"/>
      <c r="AS111" s="211"/>
      <c r="AT111" s="212"/>
      <c r="AU111" s="211"/>
      <c r="AV111" s="216">
        <v>1</v>
      </c>
      <c r="AW111" s="211">
        <v>1200</v>
      </c>
      <c r="AX111" s="212"/>
      <c r="AY111" s="211"/>
      <c r="AZ111" s="212"/>
      <c r="BA111" s="211"/>
      <c r="BB111" s="212">
        <v>1</v>
      </c>
      <c r="BC111" s="211">
        <v>2500</v>
      </c>
      <c r="BD111" s="212"/>
      <c r="BE111" s="211"/>
      <c r="BF111" s="212"/>
      <c r="BG111" s="211"/>
      <c r="BH111" s="212"/>
      <c r="BI111" s="211"/>
      <c r="BJ111" s="212"/>
      <c r="BK111" s="211"/>
      <c r="BL111" s="212"/>
      <c r="BM111" s="211"/>
      <c r="BN111" s="216"/>
      <c r="BO111" s="211"/>
      <c r="BP111" s="213"/>
      <c r="BQ111" s="211"/>
      <c r="BR111" s="208"/>
      <c r="BS111" s="279"/>
      <c r="BT111" s="212"/>
      <c r="BU111" s="209"/>
      <c r="BV111" s="212"/>
      <c r="BW111" s="211"/>
      <c r="BX111" s="215"/>
      <c r="BY111" s="211"/>
      <c r="BZ111" s="212"/>
      <c r="CA111" s="211"/>
      <c r="CB111" s="212"/>
      <c r="CC111" s="211"/>
      <c r="CD111" s="208"/>
      <c r="CE111" s="211"/>
      <c r="CF111" s="212"/>
      <c r="CG111" s="211"/>
      <c r="CH111" s="212"/>
      <c r="CI111" s="211"/>
      <c r="CJ111" s="212"/>
      <c r="CK111" s="211"/>
      <c r="CL111" s="215"/>
      <c r="CM111" s="211"/>
      <c r="CN111" s="220"/>
      <c r="CO111" s="209"/>
      <c r="CP111" s="220"/>
      <c r="CQ111" s="220"/>
      <c r="CR111" s="212"/>
      <c r="CS111" s="211"/>
      <c r="CT111" s="212"/>
      <c r="CU111" s="211"/>
      <c r="CV111" s="212"/>
      <c r="CW111" s="211"/>
      <c r="CX111" s="220"/>
      <c r="CY111" s="209"/>
      <c r="CZ111" s="208"/>
      <c r="DA111" s="211"/>
      <c r="DB111" s="221"/>
      <c r="DC111" s="222"/>
      <c r="DD111" s="221"/>
      <c r="DE111" s="222"/>
      <c r="DF111" s="223">
        <f t="shared" si="29"/>
        <v>0</v>
      </c>
      <c r="DG111" s="222">
        <f t="shared" si="30"/>
        <v>0</v>
      </c>
      <c r="DH111" s="249">
        <f t="shared" si="27"/>
        <v>6</v>
      </c>
      <c r="DI111" s="222">
        <f t="shared" si="28"/>
        <v>13450</v>
      </c>
      <c r="DJ111" s="223">
        <f>DH111+58</f>
        <v>64</v>
      </c>
      <c r="DK111" s="222">
        <f>DI111+81016.7</f>
        <v>94466.7</v>
      </c>
      <c r="DL111" s="7"/>
      <c r="DM111" s="7"/>
      <c r="DN111" s="4"/>
    </row>
    <row r="112" spans="1:118" ht="54" hidden="1" customHeight="1" x14ac:dyDescent="0.3">
      <c r="A112" s="259" t="s">
        <v>231</v>
      </c>
      <c r="B112" s="208"/>
      <c r="C112" s="211"/>
      <c r="D112" s="210"/>
      <c r="E112" s="211"/>
      <c r="F112" s="212"/>
      <c r="G112" s="211"/>
      <c r="H112" s="212"/>
      <c r="I112" s="211"/>
      <c r="J112" s="212"/>
      <c r="K112" s="211"/>
      <c r="L112" s="212"/>
      <c r="M112" s="211"/>
      <c r="N112" s="212"/>
      <c r="O112" s="211"/>
      <c r="P112" s="212"/>
      <c r="Q112" s="211"/>
      <c r="R112" s="212"/>
      <c r="S112" s="211"/>
      <c r="T112" s="213"/>
      <c r="U112" s="218"/>
      <c r="V112" s="214"/>
      <c r="W112" s="211"/>
      <c r="X112" s="214"/>
      <c r="Y112" s="211"/>
      <c r="Z112" s="212"/>
      <c r="AA112" s="211"/>
      <c r="AB112" s="212"/>
      <c r="AC112" s="211"/>
      <c r="AD112" s="215"/>
      <c r="AE112" s="211"/>
      <c r="AF112" s="212"/>
      <c r="AG112" s="211"/>
      <c r="AH112" s="212"/>
      <c r="AI112" s="211"/>
      <c r="AJ112" s="212"/>
      <c r="AK112" s="211"/>
      <c r="AL112" s="212"/>
      <c r="AM112" s="211"/>
      <c r="AN112" s="212"/>
      <c r="AO112" s="211"/>
      <c r="AP112" s="212"/>
      <c r="AQ112" s="211"/>
      <c r="AR112" s="212"/>
      <c r="AS112" s="211"/>
      <c r="AT112" s="212"/>
      <c r="AU112" s="211"/>
      <c r="AV112" s="216"/>
      <c r="AW112" s="211"/>
      <c r="AX112" s="212"/>
      <c r="AY112" s="211"/>
      <c r="AZ112" s="212"/>
      <c r="BA112" s="211"/>
      <c r="BB112" s="212"/>
      <c r="BC112" s="211"/>
      <c r="BD112" s="212"/>
      <c r="BE112" s="211"/>
      <c r="BF112" s="212"/>
      <c r="BG112" s="211"/>
      <c r="BH112" s="212"/>
      <c r="BI112" s="211"/>
      <c r="BJ112" s="212"/>
      <c r="BK112" s="211"/>
      <c r="BL112" s="212"/>
      <c r="BM112" s="211"/>
      <c r="BN112" s="216"/>
      <c r="BO112" s="211"/>
      <c r="BP112" s="217"/>
      <c r="BQ112" s="211"/>
      <c r="BR112" s="208"/>
      <c r="BS112" s="279"/>
      <c r="BT112" s="212"/>
      <c r="BU112" s="209"/>
      <c r="BV112" s="212"/>
      <c r="BW112" s="211"/>
      <c r="BX112" s="215"/>
      <c r="BY112" s="211"/>
      <c r="BZ112" s="212"/>
      <c r="CA112" s="211"/>
      <c r="CB112" s="212"/>
      <c r="CC112" s="211"/>
      <c r="CD112" s="208"/>
      <c r="CE112" s="211"/>
      <c r="CF112" s="212"/>
      <c r="CG112" s="211"/>
      <c r="CH112" s="212"/>
      <c r="CI112" s="211"/>
      <c r="CJ112" s="212"/>
      <c r="CK112" s="211"/>
      <c r="CL112" s="215"/>
      <c r="CM112" s="211"/>
      <c r="CN112" s="220"/>
      <c r="CO112" s="209"/>
      <c r="CP112" s="220"/>
      <c r="CQ112" s="220"/>
      <c r="CR112" s="212"/>
      <c r="CS112" s="211"/>
      <c r="CT112" s="212"/>
      <c r="CU112" s="211"/>
      <c r="CV112" s="212"/>
      <c r="CW112" s="211"/>
      <c r="CX112" s="220"/>
      <c r="CY112" s="209"/>
      <c r="CZ112" s="208"/>
      <c r="DA112" s="211"/>
      <c r="DB112" s="221"/>
      <c r="DC112" s="222"/>
      <c r="DD112" s="221"/>
      <c r="DE112" s="222"/>
      <c r="DF112" s="223">
        <f t="shared" si="29"/>
        <v>0</v>
      </c>
      <c r="DG112" s="222">
        <f t="shared" si="30"/>
        <v>0</v>
      </c>
      <c r="DH112" s="249">
        <f t="shared" si="27"/>
        <v>0</v>
      </c>
      <c r="DI112" s="222">
        <f t="shared" si="28"/>
        <v>0</v>
      </c>
      <c r="DJ112" s="223"/>
      <c r="DK112" s="222"/>
      <c r="DL112" s="7"/>
      <c r="DM112" s="7"/>
      <c r="DN112" s="4"/>
    </row>
    <row r="113" spans="1:118" ht="14.25" customHeight="1" x14ac:dyDescent="0.3">
      <c r="A113" s="208" t="s">
        <v>232</v>
      </c>
      <c r="B113" s="208"/>
      <c r="C113" s="211"/>
      <c r="D113" s="210"/>
      <c r="E113" s="211"/>
      <c r="F113" s="212"/>
      <c r="G113" s="211"/>
      <c r="H113" s="212"/>
      <c r="I113" s="211"/>
      <c r="J113" s="212">
        <v>1</v>
      </c>
      <c r="K113" s="211">
        <v>4500</v>
      </c>
      <c r="L113" s="212"/>
      <c r="M113" s="211"/>
      <c r="N113" s="212"/>
      <c r="O113" s="211"/>
      <c r="P113" s="212"/>
      <c r="Q113" s="211"/>
      <c r="R113" s="212"/>
      <c r="S113" s="211"/>
      <c r="T113" s="213">
        <v>1</v>
      </c>
      <c r="U113" s="218">
        <v>2000</v>
      </c>
      <c r="V113" s="214"/>
      <c r="W113" s="211"/>
      <c r="X113" s="214"/>
      <c r="Y113" s="211"/>
      <c r="Z113" s="212"/>
      <c r="AA113" s="211"/>
      <c r="AB113" s="212"/>
      <c r="AC113" s="211"/>
      <c r="AD113" s="215"/>
      <c r="AE113" s="211"/>
      <c r="AF113" s="212">
        <v>1</v>
      </c>
      <c r="AG113" s="211">
        <v>2500</v>
      </c>
      <c r="AH113" s="212"/>
      <c r="AI113" s="211"/>
      <c r="AJ113" s="212">
        <v>1</v>
      </c>
      <c r="AK113" s="211">
        <v>2000</v>
      </c>
      <c r="AL113" s="212"/>
      <c r="AM113" s="211"/>
      <c r="AN113" s="212"/>
      <c r="AO113" s="211"/>
      <c r="AP113" s="212"/>
      <c r="AQ113" s="211"/>
      <c r="AR113" s="212"/>
      <c r="AS113" s="211"/>
      <c r="AT113" s="212"/>
      <c r="AU113" s="211"/>
      <c r="AV113" s="216"/>
      <c r="AW113" s="211"/>
      <c r="AX113" s="212"/>
      <c r="AY113" s="211"/>
      <c r="AZ113" s="212"/>
      <c r="BA113" s="211"/>
      <c r="BB113" s="212"/>
      <c r="BC113" s="211"/>
      <c r="BD113" s="212"/>
      <c r="BE113" s="211"/>
      <c r="BF113" s="212"/>
      <c r="BG113" s="211"/>
      <c r="BH113" s="212"/>
      <c r="BI113" s="211"/>
      <c r="BJ113" s="212"/>
      <c r="BK113" s="211"/>
      <c r="BL113" s="212"/>
      <c r="BM113" s="211"/>
      <c r="BN113" s="216"/>
      <c r="BO113" s="211"/>
      <c r="BP113" s="217"/>
      <c r="BQ113" s="211"/>
      <c r="BR113" s="208"/>
      <c r="BS113" s="279"/>
      <c r="BT113" s="212"/>
      <c r="BU113" s="209"/>
      <c r="BV113" s="212"/>
      <c r="BW113" s="211"/>
      <c r="BX113" s="215"/>
      <c r="BY113" s="211"/>
      <c r="BZ113" s="212"/>
      <c r="CA113" s="211"/>
      <c r="CB113" s="212">
        <v>1</v>
      </c>
      <c r="CC113" s="211">
        <v>2500</v>
      </c>
      <c r="CD113" s="208"/>
      <c r="CE113" s="211"/>
      <c r="CF113" s="212"/>
      <c r="CG113" s="211"/>
      <c r="CH113" s="212"/>
      <c r="CI113" s="211"/>
      <c r="CJ113" s="212"/>
      <c r="CK113" s="211"/>
      <c r="CL113" s="215"/>
      <c r="CM113" s="211"/>
      <c r="CN113" s="220"/>
      <c r="CO113" s="209"/>
      <c r="CP113" s="220"/>
      <c r="CQ113" s="220"/>
      <c r="CR113" s="212"/>
      <c r="CS113" s="211"/>
      <c r="CT113" s="212"/>
      <c r="CU113" s="211"/>
      <c r="CV113" s="212"/>
      <c r="CW113" s="211"/>
      <c r="CX113" s="220">
        <v>1</v>
      </c>
      <c r="CY113" s="209">
        <v>500</v>
      </c>
      <c r="CZ113" s="208"/>
      <c r="DA113" s="211"/>
      <c r="DB113" s="221"/>
      <c r="DC113" s="222"/>
      <c r="DD113" s="221"/>
      <c r="DE113" s="222"/>
      <c r="DF113" s="223">
        <f t="shared" si="29"/>
        <v>1</v>
      </c>
      <c r="DG113" s="222">
        <f t="shared" si="30"/>
        <v>500</v>
      </c>
      <c r="DH113" s="249">
        <f t="shared" si="27"/>
        <v>6</v>
      </c>
      <c r="DI113" s="222">
        <f t="shared" si="28"/>
        <v>14000</v>
      </c>
      <c r="DJ113" s="223">
        <f>DH113+90</f>
        <v>96</v>
      </c>
      <c r="DK113" s="222">
        <f>DI113+109740</f>
        <v>123740</v>
      </c>
      <c r="DL113" s="7"/>
      <c r="DM113" s="7"/>
      <c r="DN113" s="4"/>
    </row>
    <row r="114" spans="1:118" ht="54.75" hidden="1" customHeight="1" x14ac:dyDescent="0.3">
      <c r="A114" s="259" t="s">
        <v>233</v>
      </c>
      <c r="B114" s="208"/>
      <c r="C114" s="211"/>
      <c r="D114" s="210"/>
      <c r="E114" s="211"/>
      <c r="F114" s="212"/>
      <c r="G114" s="211"/>
      <c r="H114" s="212"/>
      <c r="I114" s="211"/>
      <c r="J114" s="212"/>
      <c r="K114" s="211"/>
      <c r="L114" s="212"/>
      <c r="M114" s="211"/>
      <c r="N114" s="212"/>
      <c r="O114" s="211"/>
      <c r="P114" s="212"/>
      <c r="Q114" s="211"/>
      <c r="R114" s="212"/>
      <c r="S114" s="211"/>
      <c r="T114" s="213"/>
      <c r="U114" s="218"/>
      <c r="V114" s="214"/>
      <c r="W114" s="211"/>
      <c r="X114" s="214"/>
      <c r="Y114" s="211"/>
      <c r="Z114" s="212"/>
      <c r="AA114" s="211"/>
      <c r="AB114" s="212"/>
      <c r="AC114" s="211"/>
      <c r="AD114" s="215"/>
      <c r="AE114" s="211"/>
      <c r="AF114" s="212"/>
      <c r="AG114" s="211"/>
      <c r="AH114" s="212"/>
      <c r="AI114" s="211"/>
      <c r="AJ114" s="212"/>
      <c r="AK114" s="211"/>
      <c r="AL114" s="212"/>
      <c r="AM114" s="211"/>
      <c r="AN114" s="212"/>
      <c r="AO114" s="211"/>
      <c r="AP114" s="212"/>
      <c r="AQ114" s="211"/>
      <c r="AR114" s="212"/>
      <c r="AS114" s="211"/>
      <c r="AT114" s="212"/>
      <c r="AU114" s="211"/>
      <c r="AV114" s="216"/>
      <c r="AW114" s="211"/>
      <c r="AX114" s="212"/>
      <c r="AY114" s="211"/>
      <c r="AZ114" s="212"/>
      <c r="BA114" s="211"/>
      <c r="BB114" s="212"/>
      <c r="BC114" s="211"/>
      <c r="BD114" s="212"/>
      <c r="BE114" s="211"/>
      <c r="BF114" s="212"/>
      <c r="BG114" s="211"/>
      <c r="BH114" s="212"/>
      <c r="BI114" s="211"/>
      <c r="BJ114" s="212"/>
      <c r="BK114" s="211"/>
      <c r="BL114" s="212"/>
      <c r="BM114" s="211"/>
      <c r="BN114" s="216"/>
      <c r="BO114" s="211"/>
      <c r="BP114" s="217"/>
      <c r="BQ114" s="211"/>
      <c r="BR114" s="208"/>
      <c r="BS114" s="279"/>
      <c r="BT114" s="212"/>
      <c r="BU114" s="209"/>
      <c r="BV114" s="212"/>
      <c r="BW114" s="211"/>
      <c r="BX114" s="215"/>
      <c r="BY114" s="211"/>
      <c r="BZ114" s="212"/>
      <c r="CA114" s="211"/>
      <c r="CB114" s="212"/>
      <c r="CC114" s="211"/>
      <c r="CD114" s="208"/>
      <c r="CE114" s="211"/>
      <c r="CF114" s="212"/>
      <c r="CG114" s="211"/>
      <c r="CH114" s="212"/>
      <c r="CI114" s="211"/>
      <c r="CJ114" s="212"/>
      <c r="CK114" s="211"/>
      <c r="CL114" s="215"/>
      <c r="CM114" s="211"/>
      <c r="CN114" s="220"/>
      <c r="CO114" s="209"/>
      <c r="CP114" s="220"/>
      <c r="CQ114" s="220"/>
      <c r="CR114" s="212"/>
      <c r="CS114" s="211"/>
      <c r="CT114" s="212"/>
      <c r="CU114" s="211"/>
      <c r="CV114" s="212"/>
      <c r="CW114" s="211"/>
      <c r="CX114" s="220"/>
      <c r="CY114" s="209"/>
      <c r="CZ114" s="208"/>
      <c r="DA114" s="211"/>
      <c r="DB114" s="221"/>
      <c r="DC114" s="222"/>
      <c r="DD114" s="221"/>
      <c r="DE114" s="222"/>
      <c r="DF114" s="223">
        <f t="shared" si="29"/>
        <v>0</v>
      </c>
      <c r="DG114" s="222">
        <f t="shared" si="30"/>
        <v>0</v>
      </c>
      <c r="DH114" s="249">
        <f t="shared" si="27"/>
        <v>0</v>
      </c>
      <c r="DI114" s="222">
        <f t="shared" si="28"/>
        <v>0</v>
      </c>
      <c r="DJ114" s="223"/>
      <c r="DK114" s="222"/>
      <c r="DL114" s="7"/>
      <c r="DM114" s="7"/>
      <c r="DN114" s="4"/>
    </row>
    <row r="115" spans="1:118" ht="16.2" customHeight="1" x14ac:dyDescent="0.3">
      <c r="A115" s="208" t="s">
        <v>234</v>
      </c>
      <c r="B115" s="208"/>
      <c r="C115" s="211"/>
      <c r="D115" s="210"/>
      <c r="E115" s="211"/>
      <c r="F115" s="212">
        <v>1</v>
      </c>
      <c r="G115" s="211">
        <v>1500</v>
      </c>
      <c r="H115" s="212"/>
      <c r="I115" s="211"/>
      <c r="J115" s="212"/>
      <c r="K115" s="211"/>
      <c r="L115" s="212"/>
      <c r="M115" s="211"/>
      <c r="N115" s="212">
        <v>1</v>
      </c>
      <c r="O115" s="211">
        <v>4500</v>
      </c>
      <c r="P115" s="212"/>
      <c r="Q115" s="211"/>
      <c r="R115" s="212"/>
      <c r="S115" s="211"/>
      <c r="T115" s="213"/>
      <c r="U115" s="218"/>
      <c r="V115" s="214">
        <v>1</v>
      </c>
      <c r="W115" s="211">
        <v>1500</v>
      </c>
      <c r="X115" s="214">
        <v>2</v>
      </c>
      <c r="Y115" s="211">
        <v>6030</v>
      </c>
      <c r="Z115" s="212"/>
      <c r="AA115" s="211"/>
      <c r="AB115" s="212">
        <v>2</v>
      </c>
      <c r="AC115" s="211">
        <v>3950</v>
      </c>
      <c r="AD115" s="215"/>
      <c r="AE115" s="211"/>
      <c r="AF115" s="212"/>
      <c r="AG115" s="211"/>
      <c r="AH115" s="212"/>
      <c r="AI115" s="211"/>
      <c r="AJ115" s="212"/>
      <c r="AK115" s="211"/>
      <c r="AL115" s="212"/>
      <c r="AM115" s="211"/>
      <c r="AN115" s="212"/>
      <c r="AO115" s="211"/>
      <c r="AP115" s="212"/>
      <c r="AQ115" s="211"/>
      <c r="AR115" s="212"/>
      <c r="AS115" s="211"/>
      <c r="AT115" s="212"/>
      <c r="AU115" s="211"/>
      <c r="AV115" s="216"/>
      <c r="AW115" s="211"/>
      <c r="AX115" s="212"/>
      <c r="AY115" s="211"/>
      <c r="AZ115" s="212"/>
      <c r="BA115" s="211"/>
      <c r="BB115" s="212"/>
      <c r="BC115" s="211"/>
      <c r="BD115" s="212"/>
      <c r="BE115" s="211"/>
      <c r="BF115" s="212"/>
      <c r="BG115" s="211"/>
      <c r="BH115" s="212"/>
      <c r="BI115" s="211"/>
      <c r="BJ115" s="212"/>
      <c r="BK115" s="211"/>
      <c r="BL115" s="212"/>
      <c r="BM115" s="211"/>
      <c r="BN115" s="216"/>
      <c r="BO115" s="211"/>
      <c r="BP115" s="217"/>
      <c r="BQ115" s="211"/>
      <c r="BR115" s="208"/>
      <c r="BS115" s="279"/>
      <c r="BT115" s="212"/>
      <c r="BU115" s="209"/>
      <c r="BV115" s="212"/>
      <c r="BW115" s="211"/>
      <c r="BX115" s="215">
        <v>1</v>
      </c>
      <c r="BY115" s="211">
        <v>3000</v>
      </c>
      <c r="BZ115" s="212"/>
      <c r="CA115" s="211"/>
      <c r="CB115" s="212"/>
      <c r="CC115" s="211"/>
      <c r="CD115" s="208">
        <v>1</v>
      </c>
      <c r="CE115" s="211">
        <v>1800</v>
      </c>
      <c r="CF115" s="212"/>
      <c r="CG115" s="211"/>
      <c r="CH115" s="212"/>
      <c r="CI115" s="211"/>
      <c r="CJ115" s="212">
        <v>1</v>
      </c>
      <c r="CK115" s="211">
        <v>3000</v>
      </c>
      <c r="CL115" s="215"/>
      <c r="CM115" s="211"/>
      <c r="CN115" s="220"/>
      <c r="CO115" s="209"/>
      <c r="CP115" s="220"/>
      <c r="CQ115" s="220"/>
      <c r="CR115" s="212"/>
      <c r="CS115" s="211"/>
      <c r="CT115" s="212"/>
      <c r="CU115" s="211"/>
      <c r="CV115" s="212"/>
      <c r="CW115" s="211"/>
      <c r="CX115" s="220"/>
      <c r="CY115" s="209"/>
      <c r="CZ115" s="208"/>
      <c r="DA115" s="211"/>
      <c r="DB115" s="221"/>
      <c r="DC115" s="222"/>
      <c r="DD115" s="221"/>
      <c r="DE115" s="222"/>
      <c r="DF115" s="223">
        <f t="shared" si="29"/>
        <v>0</v>
      </c>
      <c r="DG115" s="222">
        <f t="shared" si="30"/>
        <v>0</v>
      </c>
      <c r="DH115" s="249">
        <f t="shared" si="27"/>
        <v>10</v>
      </c>
      <c r="DI115" s="222">
        <f t="shared" si="28"/>
        <v>25280</v>
      </c>
      <c r="DJ115" s="223">
        <f>DH115+65</f>
        <v>75</v>
      </c>
      <c r="DK115" s="222">
        <f>DI115+125925</f>
        <v>151205</v>
      </c>
      <c r="DL115" s="7"/>
      <c r="DM115" s="7"/>
      <c r="DN115" s="4"/>
    </row>
    <row r="116" spans="1:118" s="287" customFormat="1" ht="13.8" hidden="1" customHeight="1" x14ac:dyDescent="0.3">
      <c r="A116" s="432" t="s">
        <v>260</v>
      </c>
      <c r="B116" s="208"/>
      <c r="C116" s="289"/>
      <c r="D116" s="290"/>
      <c r="E116" s="289"/>
      <c r="F116" s="291"/>
      <c r="G116" s="289"/>
      <c r="H116" s="291"/>
      <c r="I116" s="289"/>
      <c r="J116" s="291"/>
      <c r="K116" s="289"/>
      <c r="L116" s="291"/>
      <c r="M116" s="289"/>
      <c r="N116" s="291"/>
      <c r="O116" s="289"/>
      <c r="P116" s="291"/>
      <c r="Q116" s="289"/>
      <c r="R116" s="291"/>
      <c r="S116" s="289"/>
      <c r="T116" s="292"/>
      <c r="U116" s="293"/>
      <c r="V116" s="294"/>
      <c r="W116" s="289"/>
      <c r="X116" s="294"/>
      <c r="Y116" s="289"/>
      <c r="Z116" s="291"/>
      <c r="AA116" s="289"/>
      <c r="AB116" s="291"/>
      <c r="AC116" s="289"/>
      <c r="AD116" s="295"/>
      <c r="AE116" s="289"/>
      <c r="AF116" s="291"/>
      <c r="AG116" s="289"/>
      <c r="AH116" s="291"/>
      <c r="AI116" s="289"/>
      <c r="AJ116" s="291"/>
      <c r="AK116" s="289"/>
      <c r="AL116" s="291"/>
      <c r="AM116" s="289"/>
      <c r="AN116" s="291"/>
      <c r="AO116" s="289"/>
      <c r="AP116" s="291"/>
      <c r="AQ116" s="289"/>
      <c r="AR116" s="291"/>
      <c r="AS116" s="289"/>
      <c r="AT116" s="291"/>
      <c r="AU116" s="289"/>
      <c r="AV116" s="296"/>
      <c r="AW116" s="289"/>
      <c r="AX116" s="291"/>
      <c r="AY116" s="289"/>
      <c r="AZ116" s="291"/>
      <c r="BA116" s="289"/>
      <c r="BB116" s="291"/>
      <c r="BC116" s="289"/>
      <c r="BD116" s="291"/>
      <c r="BE116" s="289"/>
      <c r="BF116" s="291"/>
      <c r="BG116" s="289"/>
      <c r="BH116" s="291"/>
      <c r="BI116" s="289"/>
      <c r="BJ116" s="291"/>
      <c r="BK116" s="289"/>
      <c r="BL116" s="291"/>
      <c r="BM116" s="289"/>
      <c r="BN116" s="296"/>
      <c r="BO116" s="289"/>
      <c r="BP116" s="297"/>
      <c r="BQ116" s="289"/>
      <c r="BR116" s="259"/>
      <c r="BS116" s="298"/>
      <c r="BT116" s="291"/>
      <c r="BU116" s="299"/>
      <c r="BV116" s="291"/>
      <c r="BW116" s="289"/>
      <c r="BX116" s="295"/>
      <c r="BY116" s="289"/>
      <c r="BZ116" s="291"/>
      <c r="CA116" s="289"/>
      <c r="CB116" s="291"/>
      <c r="CC116" s="289"/>
      <c r="CD116" s="259"/>
      <c r="CE116" s="289"/>
      <c r="CF116" s="291"/>
      <c r="CG116" s="289"/>
      <c r="CH116" s="291"/>
      <c r="CI116" s="289"/>
      <c r="CJ116" s="291"/>
      <c r="CK116" s="289"/>
      <c r="CL116" s="295"/>
      <c r="CM116" s="289"/>
      <c r="CN116" s="300"/>
      <c r="CO116" s="299"/>
      <c r="CP116" s="300"/>
      <c r="CQ116" s="300"/>
      <c r="CR116" s="291"/>
      <c r="CS116" s="289"/>
      <c r="CT116" s="291"/>
      <c r="CU116" s="289"/>
      <c r="CV116" s="212"/>
      <c r="CW116" s="211"/>
      <c r="CX116" s="300"/>
      <c r="CY116" s="299"/>
      <c r="CZ116" s="259"/>
      <c r="DA116" s="289"/>
      <c r="DB116" s="301"/>
      <c r="DC116" s="302"/>
      <c r="DD116" s="301"/>
      <c r="DE116" s="302"/>
      <c r="DF116" s="223">
        <f t="shared" si="29"/>
        <v>0</v>
      </c>
      <c r="DG116" s="222">
        <f t="shared" si="30"/>
        <v>0</v>
      </c>
      <c r="DH116" s="249">
        <f t="shared" si="27"/>
        <v>0</v>
      </c>
      <c r="DI116" s="222">
        <f t="shared" si="28"/>
        <v>0</v>
      </c>
      <c r="DJ116" s="303"/>
      <c r="DK116" s="302"/>
      <c r="DL116" s="304"/>
      <c r="DM116" s="304"/>
      <c r="DN116" s="305"/>
    </row>
    <row r="117" spans="1:118" ht="19.5" customHeight="1" x14ac:dyDescent="0.3">
      <c r="A117" s="208" t="s">
        <v>235</v>
      </c>
      <c r="B117" s="208"/>
      <c r="C117" s="211"/>
      <c r="D117" s="210"/>
      <c r="E117" s="211"/>
      <c r="F117" s="212"/>
      <c r="G117" s="211"/>
      <c r="H117" s="212"/>
      <c r="I117" s="211"/>
      <c r="J117" s="212"/>
      <c r="K117" s="211"/>
      <c r="L117" s="212"/>
      <c r="M117" s="211"/>
      <c r="N117" s="212"/>
      <c r="O117" s="211"/>
      <c r="P117" s="212"/>
      <c r="Q117" s="211"/>
      <c r="R117" s="212"/>
      <c r="S117" s="211"/>
      <c r="T117" s="213">
        <v>1</v>
      </c>
      <c r="U117" s="218">
        <v>900</v>
      </c>
      <c r="V117" s="214"/>
      <c r="W117" s="211"/>
      <c r="X117" s="214"/>
      <c r="Y117" s="211"/>
      <c r="Z117" s="212"/>
      <c r="AA117" s="211"/>
      <c r="AB117" s="212"/>
      <c r="AC117" s="211"/>
      <c r="AD117" s="215"/>
      <c r="AE117" s="211"/>
      <c r="AF117" s="212"/>
      <c r="AG117" s="211"/>
      <c r="AH117" s="212"/>
      <c r="AI117" s="211"/>
      <c r="AJ117" s="212"/>
      <c r="AK117" s="211"/>
      <c r="AL117" s="212"/>
      <c r="AM117" s="211"/>
      <c r="AN117" s="212"/>
      <c r="AO117" s="211"/>
      <c r="AP117" s="212"/>
      <c r="AQ117" s="211"/>
      <c r="AR117" s="212"/>
      <c r="AS117" s="211"/>
      <c r="AT117" s="212"/>
      <c r="AU117" s="211"/>
      <c r="AV117" s="216"/>
      <c r="AW117" s="211"/>
      <c r="AX117" s="212"/>
      <c r="AY117" s="211"/>
      <c r="AZ117" s="212"/>
      <c r="BA117" s="211"/>
      <c r="BB117" s="212"/>
      <c r="BC117" s="211"/>
      <c r="BD117" s="212"/>
      <c r="BE117" s="211"/>
      <c r="BF117" s="212"/>
      <c r="BG117" s="211"/>
      <c r="BH117" s="212"/>
      <c r="BI117" s="211"/>
      <c r="BJ117" s="212"/>
      <c r="BK117" s="211"/>
      <c r="BL117" s="212"/>
      <c r="BM117" s="211"/>
      <c r="BN117" s="216"/>
      <c r="BO117" s="211"/>
      <c r="BP117" s="217"/>
      <c r="BQ117" s="211"/>
      <c r="BR117" s="208"/>
      <c r="BS117" s="279"/>
      <c r="BT117" s="212"/>
      <c r="BU117" s="209"/>
      <c r="BV117" s="212"/>
      <c r="BW117" s="211"/>
      <c r="BX117" s="215"/>
      <c r="BY117" s="211"/>
      <c r="BZ117" s="212"/>
      <c r="CA117" s="211"/>
      <c r="CB117" s="212"/>
      <c r="CC117" s="211"/>
      <c r="CD117" s="208"/>
      <c r="CE117" s="211"/>
      <c r="CF117" s="212"/>
      <c r="CG117" s="211"/>
      <c r="CH117" s="212"/>
      <c r="CI117" s="211"/>
      <c r="CJ117" s="212"/>
      <c r="CK117" s="211"/>
      <c r="CL117" s="215"/>
      <c r="CM117" s="211"/>
      <c r="CN117" s="220"/>
      <c r="CO117" s="209"/>
      <c r="CP117" s="220"/>
      <c r="CQ117" s="220"/>
      <c r="CR117" s="212"/>
      <c r="CS117" s="211"/>
      <c r="CT117" s="212"/>
      <c r="CU117" s="211"/>
      <c r="CV117" s="212"/>
      <c r="CW117" s="211"/>
      <c r="CX117" s="220"/>
      <c r="CY117" s="209"/>
      <c r="CZ117" s="208"/>
      <c r="DA117" s="211"/>
      <c r="DB117" s="221"/>
      <c r="DC117" s="222"/>
      <c r="DD117" s="221"/>
      <c r="DE117" s="222"/>
      <c r="DF117" s="223">
        <f t="shared" si="29"/>
        <v>0</v>
      </c>
      <c r="DG117" s="222">
        <f t="shared" si="30"/>
        <v>0</v>
      </c>
      <c r="DH117" s="249">
        <f t="shared" si="27"/>
        <v>1</v>
      </c>
      <c r="DI117" s="222">
        <f t="shared" si="28"/>
        <v>900</v>
      </c>
      <c r="DJ117" s="223">
        <f>DH117+10</f>
        <v>11</v>
      </c>
      <c r="DK117" s="222">
        <f>DI117+17340</f>
        <v>18240</v>
      </c>
      <c r="DL117" s="7"/>
      <c r="DM117" s="7"/>
      <c r="DN117" s="4"/>
    </row>
    <row r="118" spans="1:118" ht="38.25" hidden="1" customHeight="1" x14ac:dyDescent="0.3">
      <c r="A118" s="259" t="s">
        <v>236</v>
      </c>
      <c r="B118" s="208"/>
      <c r="C118" s="211"/>
      <c r="D118" s="210"/>
      <c r="E118" s="211"/>
      <c r="F118" s="212"/>
      <c r="G118" s="211"/>
      <c r="H118" s="212"/>
      <c r="I118" s="211"/>
      <c r="J118" s="212"/>
      <c r="K118" s="211"/>
      <c r="L118" s="212"/>
      <c r="M118" s="211"/>
      <c r="N118" s="212"/>
      <c r="O118" s="211"/>
      <c r="P118" s="212"/>
      <c r="Q118" s="211"/>
      <c r="R118" s="212"/>
      <c r="S118" s="211"/>
      <c r="T118" s="213"/>
      <c r="U118" s="218"/>
      <c r="V118" s="214"/>
      <c r="W118" s="211"/>
      <c r="X118" s="214"/>
      <c r="Y118" s="211"/>
      <c r="Z118" s="212"/>
      <c r="AA118" s="211"/>
      <c r="AB118" s="212"/>
      <c r="AC118" s="211"/>
      <c r="AD118" s="215"/>
      <c r="AE118" s="211"/>
      <c r="AF118" s="212"/>
      <c r="AG118" s="211"/>
      <c r="AH118" s="212"/>
      <c r="AI118" s="211"/>
      <c r="AJ118" s="212"/>
      <c r="AK118" s="211"/>
      <c r="AL118" s="212"/>
      <c r="AM118" s="211"/>
      <c r="AN118" s="212"/>
      <c r="AO118" s="211"/>
      <c r="AP118" s="212"/>
      <c r="AQ118" s="211"/>
      <c r="AR118" s="212"/>
      <c r="AS118" s="211"/>
      <c r="AT118" s="212"/>
      <c r="AU118" s="211"/>
      <c r="AV118" s="216"/>
      <c r="AW118" s="211"/>
      <c r="AX118" s="212"/>
      <c r="AY118" s="211"/>
      <c r="AZ118" s="212"/>
      <c r="BA118" s="211"/>
      <c r="BB118" s="212"/>
      <c r="BC118" s="211"/>
      <c r="BD118" s="212"/>
      <c r="BE118" s="211"/>
      <c r="BF118" s="212"/>
      <c r="BG118" s="211"/>
      <c r="BH118" s="212"/>
      <c r="BI118" s="211"/>
      <c r="BJ118" s="212"/>
      <c r="BK118" s="211"/>
      <c r="BL118" s="212"/>
      <c r="BM118" s="211"/>
      <c r="BN118" s="216"/>
      <c r="BO118" s="211"/>
      <c r="BP118" s="217"/>
      <c r="BQ118" s="211"/>
      <c r="BR118" s="208"/>
      <c r="BS118" s="279"/>
      <c r="BT118" s="212"/>
      <c r="BU118" s="209"/>
      <c r="BV118" s="212"/>
      <c r="BW118" s="211"/>
      <c r="BX118" s="215"/>
      <c r="BY118" s="211"/>
      <c r="BZ118" s="212"/>
      <c r="CA118" s="211"/>
      <c r="CB118" s="212"/>
      <c r="CC118" s="211"/>
      <c r="CD118" s="208"/>
      <c r="CE118" s="211"/>
      <c r="CF118" s="212"/>
      <c r="CG118" s="211"/>
      <c r="CH118" s="212"/>
      <c r="CI118" s="211"/>
      <c r="CJ118" s="212"/>
      <c r="CK118" s="211"/>
      <c r="CL118" s="215"/>
      <c r="CM118" s="211"/>
      <c r="CN118" s="220"/>
      <c r="CO118" s="209"/>
      <c r="CP118" s="220"/>
      <c r="CQ118" s="220"/>
      <c r="CR118" s="212"/>
      <c r="CS118" s="211"/>
      <c r="CT118" s="212"/>
      <c r="CU118" s="211"/>
      <c r="CV118" s="212"/>
      <c r="CW118" s="211"/>
      <c r="CX118" s="220"/>
      <c r="CY118" s="209"/>
      <c r="CZ118" s="208"/>
      <c r="DA118" s="211"/>
      <c r="DB118" s="221"/>
      <c r="DC118" s="222"/>
      <c r="DD118" s="221"/>
      <c r="DE118" s="222"/>
      <c r="DF118" s="223">
        <f t="shared" si="29"/>
        <v>0</v>
      </c>
      <c r="DG118" s="222">
        <f t="shared" si="30"/>
        <v>0</v>
      </c>
      <c r="DH118" s="249">
        <f t="shared" si="27"/>
        <v>0</v>
      </c>
      <c r="DI118" s="222">
        <f t="shared" si="28"/>
        <v>0</v>
      </c>
      <c r="DJ118" s="223"/>
      <c r="DK118" s="222"/>
      <c r="DL118" s="7"/>
      <c r="DM118" s="7"/>
      <c r="DN118" s="4"/>
    </row>
    <row r="119" spans="1:118" ht="14.25" customHeight="1" x14ac:dyDescent="0.3">
      <c r="A119" s="208" t="s">
        <v>237</v>
      </c>
      <c r="B119" s="208"/>
      <c r="C119" s="211"/>
      <c r="D119" s="210"/>
      <c r="E119" s="211"/>
      <c r="F119" s="212"/>
      <c r="G119" s="211"/>
      <c r="H119" s="212"/>
      <c r="I119" s="211"/>
      <c r="J119" s="212"/>
      <c r="K119" s="211"/>
      <c r="L119" s="212"/>
      <c r="M119" s="211"/>
      <c r="N119" s="212"/>
      <c r="O119" s="211"/>
      <c r="P119" s="212"/>
      <c r="Q119" s="211"/>
      <c r="R119" s="212"/>
      <c r="S119" s="211"/>
      <c r="T119" s="213"/>
      <c r="U119" s="218"/>
      <c r="V119" s="214"/>
      <c r="W119" s="211"/>
      <c r="X119" s="214"/>
      <c r="Y119" s="211"/>
      <c r="Z119" s="212"/>
      <c r="AA119" s="211"/>
      <c r="AB119" s="212"/>
      <c r="AC119" s="211"/>
      <c r="AD119" s="215"/>
      <c r="AE119" s="211"/>
      <c r="AF119" s="212">
        <v>1</v>
      </c>
      <c r="AG119" s="211">
        <v>1800</v>
      </c>
      <c r="AH119" s="212"/>
      <c r="AI119" s="211"/>
      <c r="AJ119" s="212"/>
      <c r="AK119" s="211"/>
      <c r="AL119" s="212"/>
      <c r="AM119" s="211"/>
      <c r="AN119" s="212"/>
      <c r="AO119" s="211"/>
      <c r="AP119" s="212"/>
      <c r="AQ119" s="211"/>
      <c r="AR119" s="212"/>
      <c r="AS119" s="211"/>
      <c r="AT119" s="212"/>
      <c r="AU119" s="211"/>
      <c r="AV119" s="216"/>
      <c r="AW119" s="211"/>
      <c r="AX119" s="212"/>
      <c r="AY119" s="211"/>
      <c r="AZ119" s="212"/>
      <c r="BA119" s="211"/>
      <c r="BB119" s="212"/>
      <c r="BC119" s="211"/>
      <c r="BD119" s="212"/>
      <c r="BE119" s="211"/>
      <c r="BF119" s="212"/>
      <c r="BG119" s="211"/>
      <c r="BH119" s="212"/>
      <c r="BI119" s="211"/>
      <c r="BJ119" s="212"/>
      <c r="BK119" s="211"/>
      <c r="BL119" s="212"/>
      <c r="BM119" s="211"/>
      <c r="BN119" s="216"/>
      <c r="BO119" s="211"/>
      <c r="BP119" s="217"/>
      <c r="BQ119" s="211"/>
      <c r="BR119" s="208"/>
      <c r="BS119" s="279"/>
      <c r="BT119" s="212"/>
      <c r="BU119" s="209"/>
      <c r="BV119" s="212"/>
      <c r="BW119" s="211"/>
      <c r="BX119" s="215"/>
      <c r="BY119" s="211"/>
      <c r="BZ119" s="212"/>
      <c r="CA119" s="211"/>
      <c r="CB119" s="212"/>
      <c r="CC119" s="211"/>
      <c r="CD119" s="208"/>
      <c r="CE119" s="211"/>
      <c r="CF119" s="212"/>
      <c r="CG119" s="211"/>
      <c r="CH119" s="212"/>
      <c r="CI119" s="211"/>
      <c r="CJ119" s="212"/>
      <c r="CK119" s="211"/>
      <c r="CL119" s="215"/>
      <c r="CM119" s="211"/>
      <c r="CN119" s="220"/>
      <c r="CO119" s="209"/>
      <c r="CP119" s="220"/>
      <c r="CQ119" s="220"/>
      <c r="CR119" s="212"/>
      <c r="CS119" s="211"/>
      <c r="CT119" s="212"/>
      <c r="CU119" s="211"/>
      <c r="CV119" s="212"/>
      <c r="CW119" s="211"/>
      <c r="CX119" s="220"/>
      <c r="CY119" s="209"/>
      <c r="CZ119" s="208"/>
      <c r="DA119" s="211"/>
      <c r="DB119" s="221"/>
      <c r="DC119" s="222"/>
      <c r="DD119" s="221"/>
      <c r="DE119" s="222"/>
      <c r="DF119" s="223">
        <f t="shared" si="29"/>
        <v>0</v>
      </c>
      <c r="DG119" s="222">
        <f t="shared" si="30"/>
        <v>0</v>
      </c>
      <c r="DH119" s="249">
        <f t="shared" si="27"/>
        <v>1</v>
      </c>
      <c r="DI119" s="222">
        <f t="shared" si="28"/>
        <v>1800</v>
      </c>
      <c r="DJ119" s="223">
        <f>DH119+3</f>
        <v>4</v>
      </c>
      <c r="DK119" s="222">
        <f>DI119+6650</f>
        <v>8450</v>
      </c>
      <c r="DL119" s="7"/>
      <c r="DM119" s="7"/>
      <c r="DN119" s="4"/>
    </row>
    <row r="120" spans="1:118" ht="16.5" hidden="1" customHeight="1" x14ac:dyDescent="0.3">
      <c r="A120" s="259" t="s">
        <v>238</v>
      </c>
      <c r="B120" s="208"/>
      <c r="C120" s="211"/>
      <c r="D120" s="210"/>
      <c r="E120" s="211"/>
      <c r="F120" s="212"/>
      <c r="G120" s="211"/>
      <c r="H120" s="212"/>
      <c r="I120" s="211"/>
      <c r="J120" s="212"/>
      <c r="K120" s="211"/>
      <c r="L120" s="212"/>
      <c r="M120" s="211"/>
      <c r="N120" s="212"/>
      <c r="O120" s="211"/>
      <c r="P120" s="212"/>
      <c r="Q120" s="211"/>
      <c r="R120" s="212"/>
      <c r="S120" s="211"/>
      <c r="T120" s="213"/>
      <c r="U120" s="218"/>
      <c r="V120" s="214"/>
      <c r="W120" s="211"/>
      <c r="X120" s="214"/>
      <c r="Y120" s="211"/>
      <c r="Z120" s="212"/>
      <c r="AA120" s="211"/>
      <c r="AB120" s="212"/>
      <c r="AC120" s="211"/>
      <c r="AD120" s="215"/>
      <c r="AE120" s="211"/>
      <c r="AF120" s="212"/>
      <c r="AG120" s="211"/>
      <c r="AH120" s="212"/>
      <c r="AI120" s="211"/>
      <c r="AJ120" s="212"/>
      <c r="AK120" s="211"/>
      <c r="AL120" s="212"/>
      <c r="AM120" s="211"/>
      <c r="AN120" s="212"/>
      <c r="AO120" s="211"/>
      <c r="AP120" s="212"/>
      <c r="AQ120" s="211"/>
      <c r="AR120" s="212"/>
      <c r="AS120" s="211"/>
      <c r="AT120" s="212"/>
      <c r="AU120" s="211"/>
      <c r="AV120" s="216"/>
      <c r="AW120" s="211"/>
      <c r="AX120" s="212"/>
      <c r="AY120" s="211"/>
      <c r="AZ120" s="212"/>
      <c r="BA120" s="211"/>
      <c r="BB120" s="212"/>
      <c r="BC120" s="211"/>
      <c r="BD120" s="212"/>
      <c r="BE120" s="211"/>
      <c r="BF120" s="212"/>
      <c r="BG120" s="211"/>
      <c r="BH120" s="212"/>
      <c r="BI120" s="211"/>
      <c r="BJ120" s="212"/>
      <c r="BK120" s="211"/>
      <c r="BL120" s="212"/>
      <c r="BM120" s="211"/>
      <c r="BN120" s="216"/>
      <c r="BO120" s="211"/>
      <c r="BP120" s="217"/>
      <c r="BQ120" s="211"/>
      <c r="BR120" s="208"/>
      <c r="BS120" s="279"/>
      <c r="BT120" s="212"/>
      <c r="BU120" s="209"/>
      <c r="BV120" s="212"/>
      <c r="BW120" s="211"/>
      <c r="BX120" s="215"/>
      <c r="BY120" s="211"/>
      <c r="BZ120" s="212"/>
      <c r="CA120" s="211"/>
      <c r="CB120" s="212"/>
      <c r="CC120" s="211"/>
      <c r="CD120" s="208"/>
      <c r="CE120" s="211"/>
      <c r="CF120" s="212"/>
      <c r="CG120" s="211"/>
      <c r="CH120" s="212"/>
      <c r="CI120" s="211"/>
      <c r="CJ120" s="212"/>
      <c r="CK120" s="211"/>
      <c r="CL120" s="215"/>
      <c r="CM120" s="211"/>
      <c r="CN120" s="220"/>
      <c r="CO120" s="209"/>
      <c r="CP120" s="220"/>
      <c r="CQ120" s="220"/>
      <c r="CR120" s="212"/>
      <c r="CS120" s="211"/>
      <c r="CT120" s="212"/>
      <c r="CU120" s="211"/>
      <c r="CV120" s="212"/>
      <c r="CW120" s="211"/>
      <c r="CX120" s="220"/>
      <c r="CY120" s="209"/>
      <c r="CZ120" s="208"/>
      <c r="DA120" s="211"/>
      <c r="DB120" s="221"/>
      <c r="DC120" s="222"/>
      <c r="DD120" s="221"/>
      <c r="DE120" s="222"/>
      <c r="DF120" s="223">
        <f t="shared" si="29"/>
        <v>0</v>
      </c>
      <c r="DG120" s="222">
        <f t="shared" si="30"/>
        <v>0</v>
      </c>
      <c r="DH120" s="249">
        <f t="shared" si="27"/>
        <v>0</v>
      </c>
      <c r="DI120" s="222">
        <f t="shared" si="28"/>
        <v>0</v>
      </c>
      <c r="DJ120" s="223"/>
      <c r="DK120" s="222"/>
      <c r="DL120" s="7"/>
      <c r="DM120" s="7"/>
      <c r="DN120" s="4"/>
    </row>
    <row r="121" spans="1:118" ht="16.5" customHeight="1" x14ac:dyDescent="0.3">
      <c r="A121" s="208" t="s">
        <v>239</v>
      </c>
      <c r="B121" s="208"/>
      <c r="C121" s="211"/>
      <c r="D121" s="210"/>
      <c r="E121" s="211"/>
      <c r="F121" s="212"/>
      <c r="G121" s="211"/>
      <c r="H121" s="212"/>
      <c r="I121" s="211"/>
      <c r="J121" s="212"/>
      <c r="K121" s="211"/>
      <c r="L121" s="212"/>
      <c r="M121" s="211"/>
      <c r="N121" s="212"/>
      <c r="O121" s="211"/>
      <c r="P121" s="212"/>
      <c r="Q121" s="211"/>
      <c r="R121" s="212"/>
      <c r="S121" s="211"/>
      <c r="T121" s="213"/>
      <c r="U121" s="218"/>
      <c r="V121" s="214"/>
      <c r="W121" s="211"/>
      <c r="X121" s="214"/>
      <c r="Y121" s="211"/>
      <c r="Z121" s="212"/>
      <c r="AA121" s="211"/>
      <c r="AB121" s="212">
        <v>1</v>
      </c>
      <c r="AC121" s="211">
        <v>4000</v>
      </c>
      <c r="AD121" s="215"/>
      <c r="AE121" s="211"/>
      <c r="AF121" s="212"/>
      <c r="AG121" s="211"/>
      <c r="AH121" s="212"/>
      <c r="AI121" s="211"/>
      <c r="AJ121" s="212"/>
      <c r="AK121" s="211"/>
      <c r="AL121" s="212"/>
      <c r="AM121" s="211"/>
      <c r="AN121" s="212"/>
      <c r="AO121" s="211"/>
      <c r="AP121" s="212"/>
      <c r="AQ121" s="211"/>
      <c r="AR121" s="212"/>
      <c r="AS121" s="211"/>
      <c r="AT121" s="212"/>
      <c r="AU121" s="211"/>
      <c r="AV121" s="216"/>
      <c r="AW121" s="211"/>
      <c r="AX121" s="212"/>
      <c r="AY121" s="211"/>
      <c r="AZ121" s="212"/>
      <c r="BA121" s="211"/>
      <c r="BB121" s="212"/>
      <c r="BC121" s="211"/>
      <c r="BD121" s="212"/>
      <c r="BE121" s="211"/>
      <c r="BF121" s="212"/>
      <c r="BG121" s="211"/>
      <c r="BH121" s="212"/>
      <c r="BI121" s="211"/>
      <c r="BJ121" s="212"/>
      <c r="BK121" s="211"/>
      <c r="BL121" s="212"/>
      <c r="BM121" s="211"/>
      <c r="BN121" s="216"/>
      <c r="BO121" s="211"/>
      <c r="BP121" s="217"/>
      <c r="BQ121" s="211"/>
      <c r="BR121" s="208"/>
      <c r="BS121" s="279"/>
      <c r="BT121" s="212"/>
      <c r="BU121" s="209"/>
      <c r="BV121" s="212"/>
      <c r="BW121" s="211"/>
      <c r="BX121" s="215"/>
      <c r="BY121" s="211"/>
      <c r="BZ121" s="212"/>
      <c r="CA121" s="211"/>
      <c r="CB121" s="212"/>
      <c r="CC121" s="211"/>
      <c r="CD121" s="208"/>
      <c r="CE121" s="211"/>
      <c r="CF121" s="212"/>
      <c r="CG121" s="211"/>
      <c r="CH121" s="212"/>
      <c r="CI121" s="211"/>
      <c r="CJ121" s="212"/>
      <c r="CK121" s="211"/>
      <c r="CL121" s="215"/>
      <c r="CM121" s="211"/>
      <c r="CN121" s="220"/>
      <c r="CO121" s="209"/>
      <c r="CP121" s="220"/>
      <c r="CQ121" s="220"/>
      <c r="CR121" s="212"/>
      <c r="CS121" s="211"/>
      <c r="CT121" s="212"/>
      <c r="CU121" s="211"/>
      <c r="CV121" s="212"/>
      <c r="CW121" s="211"/>
      <c r="CX121" s="220"/>
      <c r="CY121" s="209"/>
      <c r="CZ121" s="208"/>
      <c r="DA121" s="211"/>
      <c r="DB121" s="221"/>
      <c r="DC121" s="222"/>
      <c r="DD121" s="221"/>
      <c r="DE121" s="222"/>
      <c r="DF121" s="223">
        <f t="shared" si="29"/>
        <v>0</v>
      </c>
      <c r="DG121" s="222">
        <f t="shared" si="30"/>
        <v>0</v>
      </c>
      <c r="DH121" s="249">
        <f t="shared" si="27"/>
        <v>1</v>
      </c>
      <c r="DI121" s="222">
        <f t="shared" si="28"/>
        <v>4000</v>
      </c>
      <c r="DJ121" s="223">
        <f>DH121+27</f>
        <v>28</v>
      </c>
      <c r="DK121" s="222">
        <f>DI121+22886</f>
        <v>26886</v>
      </c>
      <c r="DL121" s="7"/>
      <c r="DM121" s="7"/>
      <c r="DN121" s="4"/>
    </row>
    <row r="122" spans="1:118" hidden="1" x14ac:dyDescent="0.3">
      <c r="A122" s="278" t="s">
        <v>240</v>
      </c>
      <c r="B122" s="208"/>
      <c r="C122" s="211"/>
      <c r="D122" s="210"/>
      <c r="E122" s="211"/>
      <c r="F122" s="212"/>
      <c r="G122" s="211"/>
      <c r="H122" s="212"/>
      <c r="I122" s="211"/>
      <c r="J122" s="212"/>
      <c r="K122" s="211"/>
      <c r="L122" s="212"/>
      <c r="M122" s="211"/>
      <c r="N122" s="212"/>
      <c r="O122" s="211"/>
      <c r="P122" s="212"/>
      <c r="Q122" s="211"/>
      <c r="R122" s="212"/>
      <c r="S122" s="211"/>
      <c r="T122" s="213"/>
      <c r="U122" s="218"/>
      <c r="V122" s="214"/>
      <c r="W122" s="211"/>
      <c r="X122" s="214"/>
      <c r="Y122" s="211"/>
      <c r="Z122" s="212"/>
      <c r="AA122" s="211"/>
      <c r="AB122" s="212"/>
      <c r="AC122" s="211"/>
      <c r="AD122" s="215"/>
      <c r="AE122" s="211"/>
      <c r="AF122" s="212"/>
      <c r="AG122" s="211"/>
      <c r="AH122" s="212"/>
      <c r="AI122" s="211"/>
      <c r="AJ122" s="212"/>
      <c r="AK122" s="211"/>
      <c r="AL122" s="212"/>
      <c r="AM122" s="211"/>
      <c r="AN122" s="212"/>
      <c r="AO122" s="211"/>
      <c r="AP122" s="212"/>
      <c r="AQ122" s="211"/>
      <c r="AR122" s="212"/>
      <c r="AS122" s="211"/>
      <c r="AT122" s="212"/>
      <c r="AU122" s="211"/>
      <c r="AV122" s="216"/>
      <c r="AW122" s="211"/>
      <c r="AX122" s="212"/>
      <c r="AY122" s="211"/>
      <c r="AZ122" s="212"/>
      <c r="BA122" s="211"/>
      <c r="BB122" s="212"/>
      <c r="BC122" s="211"/>
      <c r="BD122" s="212"/>
      <c r="BE122" s="211"/>
      <c r="BF122" s="212"/>
      <c r="BG122" s="211"/>
      <c r="BH122" s="212"/>
      <c r="BI122" s="211"/>
      <c r="BJ122" s="212"/>
      <c r="BK122" s="211"/>
      <c r="BL122" s="212"/>
      <c r="BM122" s="211"/>
      <c r="BN122" s="216"/>
      <c r="BO122" s="211"/>
      <c r="BP122" s="217"/>
      <c r="BQ122" s="211"/>
      <c r="BR122" s="208"/>
      <c r="BS122" s="279"/>
      <c r="BT122" s="212"/>
      <c r="BU122" s="209"/>
      <c r="BV122" s="212"/>
      <c r="BW122" s="211"/>
      <c r="BX122" s="215"/>
      <c r="BY122" s="211"/>
      <c r="BZ122" s="212"/>
      <c r="CA122" s="211"/>
      <c r="CB122" s="212"/>
      <c r="CC122" s="211"/>
      <c r="CD122" s="208"/>
      <c r="CE122" s="211"/>
      <c r="CF122" s="212"/>
      <c r="CG122" s="211"/>
      <c r="CH122" s="212"/>
      <c r="CI122" s="211"/>
      <c r="CJ122" s="212"/>
      <c r="CK122" s="211"/>
      <c r="CL122" s="215"/>
      <c r="CM122" s="211"/>
      <c r="CN122" s="220"/>
      <c r="CO122" s="209"/>
      <c r="CP122" s="220"/>
      <c r="CQ122" s="220"/>
      <c r="CR122" s="212"/>
      <c r="CS122" s="211"/>
      <c r="CT122" s="212"/>
      <c r="CU122" s="211"/>
      <c r="CV122" s="212"/>
      <c r="CW122" s="211"/>
      <c r="CX122" s="220"/>
      <c r="CY122" s="209"/>
      <c r="CZ122" s="208"/>
      <c r="DA122" s="211"/>
      <c r="DB122" s="221"/>
      <c r="DC122" s="222"/>
      <c r="DD122" s="221"/>
      <c r="DE122" s="222"/>
      <c r="DF122" s="223">
        <f t="shared" si="29"/>
        <v>0</v>
      </c>
      <c r="DG122" s="222">
        <f t="shared" si="30"/>
        <v>0</v>
      </c>
      <c r="DH122" s="249">
        <f t="shared" si="27"/>
        <v>0</v>
      </c>
      <c r="DI122" s="222">
        <f t="shared" si="28"/>
        <v>0</v>
      </c>
      <c r="DJ122" s="223"/>
      <c r="DK122" s="222"/>
      <c r="DL122" s="7"/>
      <c r="DM122" s="7"/>
      <c r="DN122" s="4"/>
    </row>
    <row r="123" spans="1:118" ht="14.25" customHeight="1" x14ac:dyDescent="0.3">
      <c r="A123" s="208" t="s">
        <v>241</v>
      </c>
      <c r="B123" s="208"/>
      <c r="C123" s="211"/>
      <c r="D123" s="210"/>
      <c r="E123" s="211"/>
      <c r="F123" s="212"/>
      <c r="G123" s="211"/>
      <c r="H123" s="212"/>
      <c r="I123" s="211"/>
      <c r="J123" s="212"/>
      <c r="K123" s="211"/>
      <c r="L123" s="212"/>
      <c r="M123" s="211"/>
      <c r="N123" s="212"/>
      <c r="O123" s="211"/>
      <c r="P123" s="212"/>
      <c r="Q123" s="211"/>
      <c r="R123" s="212"/>
      <c r="S123" s="211"/>
      <c r="T123" s="213"/>
      <c r="U123" s="218"/>
      <c r="V123" s="214"/>
      <c r="W123" s="211"/>
      <c r="X123" s="214"/>
      <c r="Y123" s="211"/>
      <c r="Z123" s="212"/>
      <c r="AA123" s="211"/>
      <c r="AB123" s="212"/>
      <c r="AC123" s="211"/>
      <c r="AD123" s="215"/>
      <c r="AE123" s="211"/>
      <c r="AF123" s="212"/>
      <c r="AG123" s="211"/>
      <c r="AH123" s="212"/>
      <c r="AI123" s="211"/>
      <c r="AJ123" s="212"/>
      <c r="AK123" s="211"/>
      <c r="AL123" s="212"/>
      <c r="AM123" s="211"/>
      <c r="AN123" s="212"/>
      <c r="AO123" s="211"/>
      <c r="AP123" s="212"/>
      <c r="AQ123" s="211"/>
      <c r="AR123" s="212"/>
      <c r="AS123" s="211"/>
      <c r="AT123" s="212"/>
      <c r="AU123" s="211"/>
      <c r="AV123" s="216"/>
      <c r="AW123" s="211"/>
      <c r="AX123" s="212"/>
      <c r="AY123" s="211"/>
      <c r="AZ123" s="212"/>
      <c r="BA123" s="211"/>
      <c r="BB123" s="212"/>
      <c r="BC123" s="211"/>
      <c r="BD123" s="212"/>
      <c r="BE123" s="211"/>
      <c r="BF123" s="212"/>
      <c r="BG123" s="211"/>
      <c r="BH123" s="212"/>
      <c r="BI123" s="211"/>
      <c r="BJ123" s="212"/>
      <c r="BK123" s="211"/>
      <c r="BL123" s="212">
        <v>1</v>
      </c>
      <c r="BM123" s="211">
        <v>3000</v>
      </c>
      <c r="BN123" s="216"/>
      <c r="BO123" s="211"/>
      <c r="BP123" s="217"/>
      <c r="BQ123" s="211"/>
      <c r="BR123" s="208"/>
      <c r="BS123" s="279"/>
      <c r="BT123" s="212"/>
      <c r="BU123" s="209"/>
      <c r="BV123" s="212"/>
      <c r="BW123" s="211"/>
      <c r="BX123" s="215"/>
      <c r="BY123" s="211"/>
      <c r="BZ123" s="212"/>
      <c r="CA123" s="211"/>
      <c r="CB123" s="212"/>
      <c r="CC123" s="211"/>
      <c r="CD123" s="208"/>
      <c r="CE123" s="211"/>
      <c r="CF123" s="212"/>
      <c r="CG123" s="211"/>
      <c r="CH123" s="212"/>
      <c r="CI123" s="211"/>
      <c r="CJ123" s="212"/>
      <c r="CK123" s="211"/>
      <c r="CL123" s="215"/>
      <c r="CM123" s="211"/>
      <c r="CN123" s="220"/>
      <c r="CO123" s="209"/>
      <c r="CP123" s="220"/>
      <c r="CQ123" s="220"/>
      <c r="CR123" s="212"/>
      <c r="CS123" s="211"/>
      <c r="CT123" s="212"/>
      <c r="CU123" s="211"/>
      <c r="CV123" s="212"/>
      <c r="CW123" s="211"/>
      <c r="CX123" s="220"/>
      <c r="CY123" s="209"/>
      <c r="CZ123" s="208"/>
      <c r="DA123" s="211"/>
      <c r="DB123" s="221"/>
      <c r="DC123" s="222"/>
      <c r="DD123" s="221"/>
      <c r="DE123" s="222"/>
      <c r="DF123" s="223">
        <f t="shared" si="29"/>
        <v>0</v>
      </c>
      <c r="DG123" s="222">
        <f t="shared" si="30"/>
        <v>0</v>
      </c>
      <c r="DH123" s="249">
        <f t="shared" si="27"/>
        <v>1</v>
      </c>
      <c r="DI123" s="222">
        <f t="shared" si="28"/>
        <v>3000</v>
      </c>
      <c r="DJ123" s="223">
        <f>DH123+23</f>
        <v>24</v>
      </c>
      <c r="DK123" s="222">
        <f>DI123+31344</f>
        <v>34344</v>
      </c>
      <c r="DL123" s="7"/>
      <c r="DM123" s="7"/>
      <c r="DN123" s="4"/>
    </row>
    <row r="124" spans="1:118" hidden="1" x14ac:dyDescent="0.3">
      <c r="A124" s="208" t="s">
        <v>242</v>
      </c>
      <c r="B124" s="208"/>
      <c r="C124" s="211"/>
      <c r="D124" s="210"/>
      <c r="E124" s="211"/>
      <c r="F124" s="212"/>
      <c r="G124" s="211"/>
      <c r="H124" s="212"/>
      <c r="I124" s="211"/>
      <c r="J124" s="212"/>
      <c r="K124" s="211"/>
      <c r="L124" s="212"/>
      <c r="M124" s="211"/>
      <c r="N124" s="212"/>
      <c r="O124" s="211"/>
      <c r="P124" s="212"/>
      <c r="Q124" s="211"/>
      <c r="R124" s="212"/>
      <c r="S124" s="211"/>
      <c r="T124" s="213"/>
      <c r="U124" s="218"/>
      <c r="V124" s="214"/>
      <c r="W124" s="211"/>
      <c r="X124" s="214"/>
      <c r="Y124" s="211"/>
      <c r="Z124" s="212"/>
      <c r="AA124" s="211"/>
      <c r="AB124" s="212"/>
      <c r="AC124" s="211"/>
      <c r="AD124" s="215"/>
      <c r="AE124" s="211"/>
      <c r="AF124" s="212"/>
      <c r="AG124" s="211"/>
      <c r="AH124" s="212"/>
      <c r="AI124" s="211"/>
      <c r="AJ124" s="212"/>
      <c r="AK124" s="211"/>
      <c r="AL124" s="212"/>
      <c r="AM124" s="211"/>
      <c r="AN124" s="212"/>
      <c r="AO124" s="211"/>
      <c r="AP124" s="212"/>
      <c r="AQ124" s="211"/>
      <c r="AR124" s="212"/>
      <c r="AS124" s="211"/>
      <c r="AT124" s="212"/>
      <c r="AU124" s="211"/>
      <c r="AV124" s="216"/>
      <c r="AW124" s="211"/>
      <c r="AX124" s="212"/>
      <c r="AY124" s="211"/>
      <c r="AZ124" s="212"/>
      <c r="BA124" s="211"/>
      <c r="BB124" s="212"/>
      <c r="BC124" s="211"/>
      <c r="BD124" s="212"/>
      <c r="BE124" s="211"/>
      <c r="BF124" s="212"/>
      <c r="BG124" s="211"/>
      <c r="BH124" s="212"/>
      <c r="BI124" s="211"/>
      <c r="BJ124" s="212"/>
      <c r="BK124" s="211"/>
      <c r="BL124" s="212"/>
      <c r="BM124" s="211"/>
      <c r="BN124" s="216"/>
      <c r="BO124" s="211"/>
      <c r="BP124" s="217"/>
      <c r="BQ124" s="211"/>
      <c r="BR124" s="208"/>
      <c r="BS124" s="279"/>
      <c r="BT124" s="212"/>
      <c r="BU124" s="209"/>
      <c r="BV124" s="212"/>
      <c r="BW124" s="211"/>
      <c r="BX124" s="215"/>
      <c r="BY124" s="211"/>
      <c r="BZ124" s="212"/>
      <c r="CA124" s="211"/>
      <c r="CB124" s="212"/>
      <c r="CC124" s="211"/>
      <c r="CD124" s="208"/>
      <c r="CE124" s="211"/>
      <c r="CF124" s="212"/>
      <c r="CG124" s="211"/>
      <c r="CH124" s="212"/>
      <c r="CI124" s="211"/>
      <c r="CJ124" s="212"/>
      <c r="CK124" s="211"/>
      <c r="CL124" s="215"/>
      <c r="CM124" s="211"/>
      <c r="CN124" s="220"/>
      <c r="CO124" s="209"/>
      <c r="CP124" s="220"/>
      <c r="CQ124" s="220"/>
      <c r="CR124" s="212"/>
      <c r="CS124" s="211"/>
      <c r="CT124" s="212"/>
      <c r="CU124" s="211"/>
      <c r="CV124" s="212"/>
      <c r="CW124" s="211"/>
      <c r="CX124" s="220"/>
      <c r="CY124" s="209"/>
      <c r="CZ124" s="208"/>
      <c r="DA124" s="211"/>
      <c r="DB124" s="221"/>
      <c r="DC124" s="222"/>
      <c r="DD124" s="221"/>
      <c r="DE124" s="222"/>
      <c r="DF124" s="223">
        <f t="shared" si="29"/>
        <v>0</v>
      </c>
      <c r="DG124" s="222">
        <f t="shared" si="30"/>
        <v>0</v>
      </c>
      <c r="DH124" s="249">
        <f t="shared" si="27"/>
        <v>0</v>
      </c>
      <c r="DI124" s="222">
        <f t="shared" si="28"/>
        <v>0</v>
      </c>
      <c r="DJ124" s="223"/>
      <c r="DK124" s="222"/>
      <c r="DL124" s="7"/>
      <c r="DM124" s="7"/>
      <c r="DN124" s="4"/>
    </row>
    <row r="125" spans="1:118" ht="15.75" customHeight="1" x14ac:dyDescent="0.3">
      <c r="A125" s="208" t="s">
        <v>243</v>
      </c>
      <c r="B125" s="208"/>
      <c r="C125" s="211"/>
      <c r="D125" s="210"/>
      <c r="E125" s="211"/>
      <c r="F125" s="212"/>
      <c r="G125" s="211"/>
      <c r="H125" s="212"/>
      <c r="I125" s="211"/>
      <c r="J125" s="212"/>
      <c r="K125" s="211"/>
      <c r="L125" s="212"/>
      <c r="M125" s="211"/>
      <c r="N125" s="212"/>
      <c r="O125" s="211"/>
      <c r="P125" s="212"/>
      <c r="Q125" s="211"/>
      <c r="R125" s="212"/>
      <c r="S125" s="211"/>
      <c r="T125" s="213"/>
      <c r="U125" s="218"/>
      <c r="V125" s="214">
        <v>1</v>
      </c>
      <c r="W125" s="211">
        <v>720</v>
      </c>
      <c r="X125" s="214">
        <v>1</v>
      </c>
      <c r="Y125" s="211">
        <v>2000</v>
      </c>
      <c r="Z125" s="212"/>
      <c r="AA125" s="211"/>
      <c r="AB125" s="212"/>
      <c r="AC125" s="211"/>
      <c r="AD125" s="215"/>
      <c r="AE125" s="211"/>
      <c r="AF125" s="212"/>
      <c r="AG125" s="211"/>
      <c r="AH125" s="212"/>
      <c r="AI125" s="211"/>
      <c r="AJ125" s="212">
        <v>1</v>
      </c>
      <c r="AK125" s="211">
        <v>3000</v>
      </c>
      <c r="AL125" s="212"/>
      <c r="AM125" s="211"/>
      <c r="AN125" s="212"/>
      <c r="AO125" s="211"/>
      <c r="AP125" s="212"/>
      <c r="AQ125" s="211"/>
      <c r="AR125" s="212"/>
      <c r="AS125" s="211"/>
      <c r="AT125" s="212"/>
      <c r="AU125" s="211"/>
      <c r="AV125" s="216"/>
      <c r="AW125" s="211"/>
      <c r="AX125" s="212"/>
      <c r="AY125" s="211"/>
      <c r="AZ125" s="212"/>
      <c r="BA125" s="211"/>
      <c r="BB125" s="212"/>
      <c r="BC125" s="211"/>
      <c r="BD125" s="212"/>
      <c r="BE125" s="211"/>
      <c r="BF125" s="212"/>
      <c r="BG125" s="211"/>
      <c r="BH125" s="212"/>
      <c r="BI125" s="211"/>
      <c r="BJ125" s="212"/>
      <c r="BK125" s="211"/>
      <c r="BL125" s="212"/>
      <c r="BM125" s="211"/>
      <c r="BN125" s="216"/>
      <c r="BO125" s="211"/>
      <c r="BP125" s="217"/>
      <c r="BQ125" s="211"/>
      <c r="BR125" s="208"/>
      <c r="BS125" s="279"/>
      <c r="BT125" s="212"/>
      <c r="BU125" s="209"/>
      <c r="BV125" s="212"/>
      <c r="BW125" s="211"/>
      <c r="BX125" s="215"/>
      <c r="BY125" s="211"/>
      <c r="BZ125" s="212"/>
      <c r="CA125" s="211"/>
      <c r="CB125" s="212"/>
      <c r="CC125" s="211"/>
      <c r="CD125" s="208"/>
      <c r="CE125" s="211"/>
      <c r="CF125" s="212"/>
      <c r="CG125" s="211"/>
      <c r="CH125" s="212"/>
      <c r="CI125" s="211"/>
      <c r="CJ125" s="212"/>
      <c r="CK125" s="211"/>
      <c r="CL125" s="215"/>
      <c r="CM125" s="211"/>
      <c r="CN125" s="220"/>
      <c r="CO125" s="209"/>
      <c r="CP125" s="220"/>
      <c r="CQ125" s="220"/>
      <c r="CR125" s="212"/>
      <c r="CS125" s="211"/>
      <c r="CT125" s="212"/>
      <c r="CU125" s="211"/>
      <c r="CV125" s="212"/>
      <c r="CW125" s="211"/>
      <c r="CX125" s="220"/>
      <c r="CY125" s="209"/>
      <c r="CZ125" s="208"/>
      <c r="DA125" s="211"/>
      <c r="DB125" s="221"/>
      <c r="DC125" s="222"/>
      <c r="DD125" s="221"/>
      <c r="DE125" s="222"/>
      <c r="DF125" s="223">
        <f t="shared" si="29"/>
        <v>0</v>
      </c>
      <c r="DG125" s="222">
        <f t="shared" si="30"/>
        <v>0</v>
      </c>
      <c r="DH125" s="249">
        <f t="shared" si="27"/>
        <v>3</v>
      </c>
      <c r="DI125" s="222">
        <f t="shared" si="28"/>
        <v>5720</v>
      </c>
      <c r="DJ125" s="223">
        <f>DH125+94</f>
        <v>97</v>
      </c>
      <c r="DK125" s="222">
        <f>DI125+111230</f>
        <v>116950</v>
      </c>
      <c r="DL125" s="7"/>
      <c r="DM125" s="7"/>
      <c r="DN125" s="4"/>
    </row>
    <row r="126" spans="1:118" s="260" customFormat="1" ht="33" hidden="1" customHeight="1" x14ac:dyDescent="0.3">
      <c r="A126" s="259" t="s">
        <v>244</v>
      </c>
      <c r="B126" s="208"/>
      <c r="C126" s="262"/>
      <c r="D126" s="263"/>
      <c r="E126" s="262"/>
      <c r="F126" s="264"/>
      <c r="G126" s="262"/>
      <c r="H126" s="264"/>
      <c r="I126" s="262"/>
      <c r="J126" s="264"/>
      <c r="K126" s="262"/>
      <c r="L126" s="264"/>
      <c r="M126" s="262"/>
      <c r="N126" s="264"/>
      <c r="O126" s="262"/>
      <c r="P126" s="264"/>
      <c r="Q126" s="262"/>
      <c r="R126" s="264"/>
      <c r="S126" s="262"/>
      <c r="T126" s="265"/>
      <c r="U126" s="266"/>
      <c r="V126" s="267"/>
      <c r="W126" s="262"/>
      <c r="X126" s="267"/>
      <c r="Y126" s="262"/>
      <c r="Z126" s="264"/>
      <c r="AA126" s="262"/>
      <c r="AB126" s="264"/>
      <c r="AC126" s="262"/>
      <c r="AD126" s="268"/>
      <c r="AE126" s="262"/>
      <c r="AF126" s="264"/>
      <c r="AG126" s="262"/>
      <c r="AH126" s="264"/>
      <c r="AI126" s="262"/>
      <c r="AJ126" s="264"/>
      <c r="AK126" s="262"/>
      <c r="AL126" s="264"/>
      <c r="AM126" s="262"/>
      <c r="AN126" s="264"/>
      <c r="AO126" s="262"/>
      <c r="AP126" s="264"/>
      <c r="AQ126" s="262"/>
      <c r="AR126" s="264"/>
      <c r="AS126" s="262"/>
      <c r="AT126" s="264"/>
      <c r="AU126" s="262"/>
      <c r="AV126" s="269"/>
      <c r="AW126" s="262"/>
      <c r="AX126" s="264"/>
      <c r="AY126" s="262"/>
      <c r="AZ126" s="264"/>
      <c r="BA126" s="262"/>
      <c r="BB126" s="264"/>
      <c r="BC126" s="262"/>
      <c r="BD126" s="264"/>
      <c r="BE126" s="262"/>
      <c r="BF126" s="264"/>
      <c r="BG126" s="262"/>
      <c r="BH126" s="264"/>
      <c r="BI126" s="262"/>
      <c r="BJ126" s="264"/>
      <c r="BK126" s="262"/>
      <c r="BL126" s="264"/>
      <c r="BM126" s="262"/>
      <c r="BN126" s="269"/>
      <c r="BO126" s="262"/>
      <c r="BP126" s="270"/>
      <c r="BQ126" s="262"/>
      <c r="BR126" s="261"/>
      <c r="BS126" s="261"/>
      <c r="BT126" s="264"/>
      <c r="BU126" s="271"/>
      <c r="BV126" s="264"/>
      <c r="BW126" s="262"/>
      <c r="BX126" s="268"/>
      <c r="BY126" s="262"/>
      <c r="BZ126" s="264"/>
      <c r="CA126" s="262"/>
      <c r="CB126" s="264"/>
      <c r="CC126" s="262"/>
      <c r="CD126" s="261"/>
      <c r="CE126" s="262"/>
      <c r="CF126" s="264"/>
      <c r="CG126" s="262"/>
      <c r="CH126" s="264"/>
      <c r="CI126" s="262"/>
      <c r="CJ126" s="264"/>
      <c r="CK126" s="262"/>
      <c r="CL126" s="268"/>
      <c r="CM126" s="262"/>
      <c r="CN126" s="272"/>
      <c r="CO126" s="271"/>
      <c r="CP126" s="272"/>
      <c r="CQ126" s="272"/>
      <c r="CR126" s="264"/>
      <c r="CS126" s="262"/>
      <c r="CT126" s="264"/>
      <c r="CU126" s="262"/>
      <c r="CV126" s="212"/>
      <c r="CW126" s="211"/>
      <c r="CX126" s="272"/>
      <c r="CY126" s="271"/>
      <c r="CZ126" s="261"/>
      <c r="DA126" s="262"/>
      <c r="DB126" s="273"/>
      <c r="DC126" s="274"/>
      <c r="DD126" s="273"/>
      <c r="DE126" s="274"/>
      <c r="DF126" s="223">
        <f t="shared" si="29"/>
        <v>0</v>
      </c>
      <c r="DG126" s="222">
        <f t="shared" si="30"/>
        <v>0</v>
      </c>
      <c r="DH126" s="249">
        <f t="shared" si="27"/>
        <v>0</v>
      </c>
      <c r="DI126" s="222">
        <f t="shared" si="28"/>
        <v>0</v>
      </c>
      <c r="DJ126" s="275"/>
      <c r="DK126" s="274"/>
      <c r="DL126" s="276"/>
      <c r="DM126" s="276"/>
      <c r="DN126" s="277"/>
    </row>
    <row r="127" spans="1:118" ht="18.75" customHeight="1" x14ac:dyDescent="0.3">
      <c r="A127" s="208" t="s">
        <v>245</v>
      </c>
      <c r="B127" s="208"/>
      <c r="C127" s="211"/>
      <c r="D127" s="210"/>
      <c r="E127" s="211"/>
      <c r="F127" s="212"/>
      <c r="G127" s="211"/>
      <c r="H127" s="212"/>
      <c r="I127" s="211"/>
      <c r="J127" s="212"/>
      <c r="K127" s="211"/>
      <c r="L127" s="212"/>
      <c r="M127" s="211"/>
      <c r="N127" s="212"/>
      <c r="O127" s="211"/>
      <c r="P127" s="212"/>
      <c r="Q127" s="211"/>
      <c r="R127" s="212"/>
      <c r="S127" s="211"/>
      <c r="T127" s="213"/>
      <c r="U127" s="218"/>
      <c r="V127" s="214"/>
      <c r="W127" s="211"/>
      <c r="X127" s="214"/>
      <c r="Y127" s="211"/>
      <c r="Z127" s="212"/>
      <c r="AA127" s="211"/>
      <c r="AB127" s="212"/>
      <c r="AC127" s="211"/>
      <c r="AD127" s="215"/>
      <c r="AE127" s="211"/>
      <c r="AF127" s="212"/>
      <c r="AG127" s="211"/>
      <c r="AH127" s="212"/>
      <c r="AI127" s="211"/>
      <c r="AJ127" s="212"/>
      <c r="AK127" s="211"/>
      <c r="AL127" s="212"/>
      <c r="AM127" s="211"/>
      <c r="AN127" s="212"/>
      <c r="AO127" s="211"/>
      <c r="AP127" s="212"/>
      <c r="AQ127" s="211"/>
      <c r="AR127" s="212"/>
      <c r="AS127" s="211"/>
      <c r="AT127" s="212"/>
      <c r="AU127" s="211"/>
      <c r="AV127" s="216"/>
      <c r="AW127" s="211"/>
      <c r="AX127" s="212"/>
      <c r="AY127" s="211"/>
      <c r="AZ127" s="212"/>
      <c r="BA127" s="211"/>
      <c r="BB127" s="212"/>
      <c r="BC127" s="211"/>
      <c r="BD127" s="212"/>
      <c r="BE127" s="211"/>
      <c r="BF127" s="212"/>
      <c r="BG127" s="211"/>
      <c r="BH127" s="212">
        <v>1</v>
      </c>
      <c r="BI127" s="211">
        <v>2000</v>
      </c>
      <c r="BJ127" s="212"/>
      <c r="BK127" s="211"/>
      <c r="BL127" s="212"/>
      <c r="BM127" s="211"/>
      <c r="BN127" s="216"/>
      <c r="BO127" s="211"/>
      <c r="BP127" s="217"/>
      <c r="BQ127" s="211"/>
      <c r="BR127" s="208"/>
      <c r="BS127" s="208"/>
      <c r="BT127" s="212"/>
      <c r="BU127" s="209"/>
      <c r="BV127" s="212"/>
      <c r="BW127" s="211"/>
      <c r="BX127" s="215"/>
      <c r="BY127" s="211"/>
      <c r="BZ127" s="212"/>
      <c r="CA127" s="211"/>
      <c r="CB127" s="212"/>
      <c r="CC127" s="211"/>
      <c r="CD127" s="208"/>
      <c r="CE127" s="211"/>
      <c r="CF127" s="212"/>
      <c r="CG127" s="211"/>
      <c r="CH127" s="212"/>
      <c r="CI127" s="211"/>
      <c r="CJ127" s="212"/>
      <c r="CK127" s="211"/>
      <c r="CL127" s="215"/>
      <c r="CM127" s="211"/>
      <c r="CN127" s="220"/>
      <c r="CO127" s="209"/>
      <c r="CP127" s="220"/>
      <c r="CQ127" s="220"/>
      <c r="CR127" s="212"/>
      <c r="CS127" s="211"/>
      <c r="CT127" s="212"/>
      <c r="CU127" s="211"/>
      <c r="CV127" s="212"/>
      <c r="CW127" s="211"/>
      <c r="CX127" s="220"/>
      <c r="CY127" s="209"/>
      <c r="CZ127" s="208"/>
      <c r="DA127" s="211"/>
      <c r="DB127" s="221"/>
      <c r="DC127" s="222"/>
      <c r="DD127" s="221"/>
      <c r="DE127" s="222"/>
      <c r="DF127" s="223">
        <f t="shared" si="29"/>
        <v>0</v>
      </c>
      <c r="DG127" s="222">
        <f t="shared" si="30"/>
        <v>0</v>
      </c>
      <c r="DH127" s="249">
        <f>B127+CZ127+DB127+D127+F127+H127+J127+L127+N127+P127+R127+T127+V127+X127+Z127+AB127+AD127+AF127+AH127+AJ127+AL127+AN127+AP127+AR127+AT127+AV127+AX127+AZ127+BB127+BD127+BF127+BH127+BJ127+BL127+BN127+BP127+BR127+BT127+BV127+BX127+BZ127+CB127+CD127+CF127+CH127+CJ127+CL127+CP127+CR127+CT127+CV127+CX127+CN127+DD127</f>
        <v>1</v>
      </c>
      <c r="DI127" s="222">
        <f t="shared" si="28"/>
        <v>2000</v>
      </c>
      <c r="DJ127" s="223">
        <f>DH127+22</f>
        <v>23</v>
      </c>
      <c r="DK127" s="222">
        <f>DI127+21197</f>
        <v>23197</v>
      </c>
      <c r="DL127" s="7"/>
      <c r="DM127" s="7"/>
      <c r="DN127" s="4"/>
    </row>
    <row r="128" spans="1:118" ht="25.5" hidden="1" customHeight="1" x14ac:dyDescent="0.3">
      <c r="A128" s="259" t="s">
        <v>246</v>
      </c>
      <c r="B128" s="208"/>
      <c r="C128" s="211"/>
      <c r="D128" s="210"/>
      <c r="E128" s="211"/>
      <c r="F128" s="212"/>
      <c r="G128" s="211"/>
      <c r="H128" s="212"/>
      <c r="I128" s="211"/>
      <c r="J128" s="212"/>
      <c r="K128" s="211"/>
      <c r="L128" s="212"/>
      <c r="M128" s="211"/>
      <c r="N128" s="212"/>
      <c r="O128" s="211"/>
      <c r="P128" s="212"/>
      <c r="Q128" s="211"/>
      <c r="R128" s="212"/>
      <c r="S128" s="211"/>
      <c r="T128" s="213"/>
      <c r="U128" s="218"/>
      <c r="V128" s="214"/>
      <c r="W128" s="211"/>
      <c r="X128" s="214"/>
      <c r="Y128" s="211"/>
      <c r="Z128" s="212"/>
      <c r="AA128" s="211"/>
      <c r="AB128" s="212"/>
      <c r="AC128" s="211"/>
      <c r="AD128" s="215"/>
      <c r="AE128" s="211"/>
      <c r="AF128" s="212"/>
      <c r="AG128" s="211"/>
      <c r="AH128" s="212"/>
      <c r="AI128" s="211"/>
      <c r="AJ128" s="212"/>
      <c r="AK128" s="211"/>
      <c r="AL128" s="212"/>
      <c r="AM128" s="211"/>
      <c r="AN128" s="212"/>
      <c r="AO128" s="211"/>
      <c r="AP128" s="212"/>
      <c r="AQ128" s="211"/>
      <c r="AR128" s="212"/>
      <c r="AS128" s="211"/>
      <c r="AT128" s="212"/>
      <c r="AU128" s="211"/>
      <c r="AV128" s="216"/>
      <c r="AW128" s="211"/>
      <c r="AX128" s="212"/>
      <c r="AY128" s="211"/>
      <c r="AZ128" s="212"/>
      <c r="BA128" s="211"/>
      <c r="BB128" s="212"/>
      <c r="BC128" s="211"/>
      <c r="BD128" s="212"/>
      <c r="BE128" s="211"/>
      <c r="BF128" s="212"/>
      <c r="BG128" s="211"/>
      <c r="BH128" s="212"/>
      <c r="BI128" s="211"/>
      <c r="BJ128" s="212"/>
      <c r="BK128" s="211"/>
      <c r="BL128" s="212"/>
      <c r="BM128" s="211"/>
      <c r="BN128" s="216"/>
      <c r="BO128" s="211"/>
      <c r="BP128" s="217"/>
      <c r="BQ128" s="211"/>
      <c r="BR128" s="208"/>
      <c r="BS128" s="208"/>
      <c r="BT128" s="212"/>
      <c r="BU128" s="209"/>
      <c r="BV128" s="212"/>
      <c r="BW128" s="211"/>
      <c r="BX128" s="215"/>
      <c r="BY128" s="211"/>
      <c r="BZ128" s="212"/>
      <c r="CA128" s="211"/>
      <c r="CB128" s="212"/>
      <c r="CC128" s="211"/>
      <c r="CD128" s="208"/>
      <c r="CE128" s="211"/>
      <c r="CF128" s="212"/>
      <c r="CG128" s="211"/>
      <c r="CH128" s="212"/>
      <c r="CI128" s="211"/>
      <c r="CJ128" s="212"/>
      <c r="CK128" s="211"/>
      <c r="CL128" s="215"/>
      <c r="CM128" s="211"/>
      <c r="CN128" s="220"/>
      <c r="CO128" s="209"/>
      <c r="CP128" s="220"/>
      <c r="CQ128" s="220"/>
      <c r="CR128" s="212"/>
      <c r="CS128" s="211"/>
      <c r="CT128" s="212"/>
      <c r="CU128" s="211"/>
      <c r="CV128" s="212"/>
      <c r="CW128" s="211"/>
      <c r="CX128" s="220"/>
      <c r="CY128" s="209"/>
      <c r="CZ128" s="208"/>
      <c r="DA128" s="211"/>
      <c r="DB128" s="221"/>
      <c r="DC128" s="222"/>
      <c r="DD128" s="221"/>
      <c r="DE128" s="222"/>
      <c r="DF128" s="223">
        <f t="shared" si="29"/>
        <v>0</v>
      </c>
      <c r="DG128" s="222">
        <f t="shared" si="30"/>
        <v>0</v>
      </c>
      <c r="DH128" s="249">
        <f t="shared" si="27"/>
        <v>0</v>
      </c>
      <c r="DI128" s="222">
        <f t="shared" si="28"/>
        <v>0</v>
      </c>
      <c r="DJ128" s="223"/>
      <c r="DK128" s="222"/>
      <c r="DL128" s="7"/>
      <c r="DM128" s="7"/>
      <c r="DN128" s="4"/>
    </row>
    <row r="129" spans="1:118" ht="15.75" customHeight="1" x14ac:dyDescent="0.3">
      <c r="A129" s="208" t="s">
        <v>247</v>
      </c>
      <c r="B129" s="208"/>
      <c r="C129" s="211"/>
      <c r="D129" s="210"/>
      <c r="E129" s="211"/>
      <c r="F129" s="212"/>
      <c r="G129" s="211"/>
      <c r="H129" s="212"/>
      <c r="I129" s="211"/>
      <c r="J129" s="212"/>
      <c r="K129" s="211"/>
      <c r="L129" s="212"/>
      <c r="M129" s="211"/>
      <c r="N129" s="212">
        <v>2</v>
      </c>
      <c r="O129" s="211">
        <v>5640</v>
      </c>
      <c r="P129" s="212">
        <v>1</v>
      </c>
      <c r="Q129" s="211">
        <v>900</v>
      </c>
      <c r="R129" s="212"/>
      <c r="S129" s="211"/>
      <c r="T129" s="213"/>
      <c r="U129" s="218"/>
      <c r="V129" s="214">
        <v>1</v>
      </c>
      <c r="W129" s="211">
        <v>2800</v>
      </c>
      <c r="X129" s="214"/>
      <c r="Y129" s="211"/>
      <c r="Z129" s="212"/>
      <c r="AA129" s="211"/>
      <c r="AB129" s="212"/>
      <c r="AC129" s="211"/>
      <c r="AD129" s="215"/>
      <c r="AE129" s="211"/>
      <c r="AF129" s="212"/>
      <c r="AG129" s="211"/>
      <c r="AH129" s="212">
        <v>1</v>
      </c>
      <c r="AI129" s="211">
        <v>300</v>
      </c>
      <c r="AJ129" s="212"/>
      <c r="AK129" s="211"/>
      <c r="AL129" s="212"/>
      <c r="AM129" s="211"/>
      <c r="AN129" s="212"/>
      <c r="AO129" s="211"/>
      <c r="AP129" s="212"/>
      <c r="AQ129" s="211"/>
      <c r="AR129" s="212">
        <v>1</v>
      </c>
      <c r="AS129" s="211">
        <v>2200</v>
      </c>
      <c r="AT129" s="212"/>
      <c r="AU129" s="211"/>
      <c r="AV129" s="216"/>
      <c r="AW129" s="211"/>
      <c r="AX129" s="212"/>
      <c r="AY129" s="211"/>
      <c r="AZ129" s="212"/>
      <c r="BA129" s="211"/>
      <c r="BB129" s="212"/>
      <c r="BC129" s="211"/>
      <c r="BD129" s="212"/>
      <c r="BE129" s="211"/>
      <c r="BF129" s="212"/>
      <c r="BG129" s="211"/>
      <c r="BH129" s="212"/>
      <c r="BI129" s="211"/>
      <c r="BJ129" s="212"/>
      <c r="BK129" s="211"/>
      <c r="BL129" s="212"/>
      <c r="BM129" s="211"/>
      <c r="BN129" s="216">
        <v>1</v>
      </c>
      <c r="BO129" s="211">
        <v>300</v>
      </c>
      <c r="BP129" s="217"/>
      <c r="BQ129" s="211"/>
      <c r="BR129" s="219">
        <v>1</v>
      </c>
      <c r="BS129" s="279">
        <v>2520</v>
      </c>
      <c r="BT129" s="212"/>
      <c r="BU129" s="209"/>
      <c r="BV129" s="212"/>
      <c r="BW129" s="211"/>
      <c r="BX129" s="215"/>
      <c r="BY129" s="211"/>
      <c r="BZ129" s="212"/>
      <c r="CA129" s="211"/>
      <c r="CB129" s="212"/>
      <c r="CC129" s="211"/>
      <c r="CD129" s="208"/>
      <c r="CE129" s="211"/>
      <c r="CF129" s="212"/>
      <c r="CG129" s="211"/>
      <c r="CH129" s="212"/>
      <c r="CI129" s="211"/>
      <c r="CJ129" s="212"/>
      <c r="CK129" s="211"/>
      <c r="CL129" s="215"/>
      <c r="CM129" s="211"/>
      <c r="CN129" s="220"/>
      <c r="CO129" s="209"/>
      <c r="CP129" s="220"/>
      <c r="CQ129" s="220"/>
      <c r="CR129" s="212"/>
      <c r="CS129" s="211"/>
      <c r="CT129" s="212">
        <v>1</v>
      </c>
      <c r="CU129" s="211">
        <v>400</v>
      </c>
      <c r="CV129" s="212"/>
      <c r="CW129" s="211"/>
      <c r="CX129" s="220">
        <v>1</v>
      </c>
      <c r="CY129" s="209">
        <v>3000</v>
      </c>
      <c r="CZ129" s="208">
        <v>1</v>
      </c>
      <c r="DA129" s="211">
        <v>300</v>
      </c>
      <c r="DB129" s="221">
        <v>2</v>
      </c>
      <c r="DC129" s="222">
        <v>2500</v>
      </c>
      <c r="DD129" s="221">
        <v>1</v>
      </c>
      <c r="DE129" s="222">
        <v>2500</v>
      </c>
      <c r="DF129" s="223">
        <f t="shared" si="29"/>
        <v>5</v>
      </c>
      <c r="DG129" s="222">
        <f t="shared" si="30"/>
        <v>8300</v>
      </c>
      <c r="DH129" s="249">
        <f t="shared" si="27"/>
        <v>14</v>
      </c>
      <c r="DI129" s="222">
        <f t="shared" si="28"/>
        <v>23360</v>
      </c>
      <c r="DJ129" s="223">
        <f>DH129+189</f>
        <v>203</v>
      </c>
      <c r="DK129" s="222">
        <f>DI129+250536</f>
        <v>273896</v>
      </c>
      <c r="DL129" s="7"/>
      <c r="DM129" s="7"/>
      <c r="DN129" s="4"/>
    </row>
    <row r="130" spans="1:118" ht="78.75" hidden="1" customHeight="1" x14ac:dyDescent="0.3">
      <c r="A130" s="259" t="s">
        <v>248</v>
      </c>
      <c r="B130" s="208"/>
      <c r="C130" s="211"/>
      <c r="D130" s="210"/>
      <c r="E130" s="211"/>
      <c r="F130" s="212"/>
      <c r="G130" s="211"/>
      <c r="H130" s="212"/>
      <c r="I130" s="211"/>
      <c r="J130" s="212"/>
      <c r="K130" s="211"/>
      <c r="L130" s="212"/>
      <c r="M130" s="211"/>
      <c r="N130" s="212"/>
      <c r="O130" s="211"/>
      <c r="P130" s="212"/>
      <c r="Q130" s="211"/>
      <c r="R130" s="212"/>
      <c r="S130" s="211"/>
      <c r="T130" s="213"/>
      <c r="U130" s="218"/>
      <c r="V130" s="214"/>
      <c r="W130" s="211"/>
      <c r="X130" s="214"/>
      <c r="Y130" s="211"/>
      <c r="Z130" s="212"/>
      <c r="AA130" s="211"/>
      <c r="AB130" s="212"/>
      <c r="AC130" s="211"/>
      <c r="AD130" s="215"/>
      <c r="AE130" s="211"/>
      <c r="AF130" s="212"/>
      <c r="AG130" s="211"/>
      <c r="AH130" s="212"/>
      <c r="AI130" s="211"/>
      <c r="AJ130" s="212"/>
      <c r="AK130" s="211"/>
      <c r="AL130" s="212"/>
      <c r="AM130" s="211"/>
      <c r="AN130" s="212"/>
      <c r="AO130" s="211"/>
      <c r="AP130" s="212"/>
      <c r="AQ130" s="211"/>
      <c r="AR130" s="212"/>
      <c r="AS130" s="211"/>
      <c r="AT130" s="212"/>
      <c r="AU130" s="211"/>
      <c r="AV130" s="216"/>
      <c r="AW130" s="211"/>
      <c r="AX130" s="212"/>
      <c r="AY130" s="211"/>
      <c r="AZ130" s="212"/>
      <c r="BA130" s="211"/>
      <c r="BB130" s="212"/>
      <c r="BC130" s="211"/>
      <c r="BD130" s="212"/>
      <c r="BE130" s="211"/>
      <c r="BF130" s="212"/>
      <c r="BG130" s="211"/>
      <c r="BH130" s="212"/>
      <c r="BI130" s="211"/>
      <c r="BJ130" s="212"/>
      <c r="BK130" s="211"/>
      <c r="BL130" s="212"/>
      <c r="BM130" s="211"/>
      <c r="BN130" s="216"/>
      <c r="BO130" s="211"/>
      <c r="BP130" s="217"/>
      <c r="BQ130" s="211"/>
      <c r="BR130" s="208"/>
      <c r="BS130" s="208"/>
      <c r="BT130" s="212"/>
      <c r="BU130" s="209"/>
      <c r="BV130" s="212"/>
      <c r="BW130" s="211"/>
      <c r="BX130" s="215"/>
      <c r="BY130" s="211"/>
      <c r="BZ130" s="212"/>
      <c r="CA130" s="211"/>
      <c r="CB130" s="212"/>
      <c r="CC130" s="211"/>
      <c r="CD130" s="208"/>
      <c r="CE130" s="211"/>
      <c r="CF130" s="212"/>
      <c r="CG130" s="211"/>
      <c r="CH130" s="212"/>
      <c r="CI130" s="211"/>
      <c r="CJ130" s="212"/>
      <c r="CK130" s="211"/>
      <c r="CL130" s="215"/>
      <c r="CM130" s="211"/>
      <c r="CN130" s="220"/>
      <c r="CO130" s="209"/>
      <c r="CP130" s="220"/>
      <c r="CQ130" s="220"/>
      <c r="CR130" s="212"/>
      <c r="CS130" s="211"/>
      <c r="CT130" s="212"/>
      <c r="CU130" s="211"/>
      <c r="CV130" s="212"/>
      <c r="CW130" s="211"/>
      <c r="CX130" s="220"/>
      <c r="CY130" s="209"/>
      <c r="CZ130" s="208"/>
      <c r="DA130" s="211"/>
      <c r="DB130" s="221"/>
      <c r="DC130" s="222"/>
      <c r="DD130" s="221"/>
      <c r="DE130" s="222"/>
      <c r="DF130" s="223">
        <f t="shared" si="29"/>
        <v>0</v>
      </c>
      <c r="DG130" s="222">
        <f t="shared" si="30"/>
        <v>0</v>
      </c>
      <c r="DH130" s="249">
        <f t="shared" si="27"/>
        <v>0</v>
      </c>
      <c r="DI130" s="222">
        <f t="shared" si="28"/>
        <v>0</v>
      </c>
      <c r="DJ130" s="223"/>
      <c r="DK130" s="222"/>
      <c r="DL130" s="7"/>
      <c r="DM130" s="7"/>
      <c r="DN130" s="4"/>
    </row>
    <row r="131" spans="1:118" ht="17.25" customHeight="1" x14ac:dyDescent="0.3">
      <c r="A131" s="208" t="s">
        <v>249</v>
      </c>
      <c r="B131" s="208"/>
      <c r="C131" s="211"/>
      <c r="D131" s="210"/>
      <c r="E131" s="211"/>
      <c r="F131" s="212"/>
      <c r="G131" s="211"/>
      <c r="H131" s="212"/>
      <c r="I131" s="211"/>
      <c r="J131" s="212"/>
      <c r="K131" s="211"/>
      <c r="L131" s="212"/>
      <c r="M131" s="211"/>
      <c r="N131" s="212"/>
      <c r="O131" s="211"/>
      <c r="P131" s="212"/>
      <c r="Q131" s="211"/>
      <c r="R131" s="212"/>
      <c r="S131" s="211"/>
      <c r="T131" s="213">
        <v>1</v>
      </c>
      <c r="U131" s="218">
        <v>2500</v>
      </c>
      <c r="V131" s="214"/>
      <c r="W131" s="211"/>
      <c r="X131" s="214"/>
      <c r="Y131" s="211"/>
      <c r="Z131" s="212"/>
      <c r="AA131" s="211"/>
      <c r="AB131" s="212"/>
      <c r="AC131" s="211"/>
      <c r="AD131" s="215"/>
      <c r="AE131" s="211"/>
      <c r="AF131" s="212"/>
      <c r="AG131" s="211"/>
      <c r="AH131" s="212"/>
      <c r="AI131" s="211"/>
      <c r="AJ131" s="212"/>
      <c r="AK131" s="211"/>
      <c r="AL131" s="212"/>
      <c r="AM131" s="211"/>
      <c r="AN131" s="212"/>
      <c r="AO131" s="211"/>
      <c r="AP131" s="212"/>
      <c r="AQ131" s="211"/>
      <c r="AR131" s="212"/>
      <c r="AS131" s="211"/>
      <c r="AT131" s="212"/>
      <c r="AU131" s="211"/>
      <c r="AV131" s="216"/>
      <c r="AW131" s="211"/>
      <c r="AX131" s="212"/>
      <c r="AY131" s="211"/>
      <c r="AZ131" s="212"/>
      <c r="BA131" s="211"/>
      <c r="BB131" s="212"/>
      <c r="BC131" s="211"/>
      <c r="BD131" s="212"/>
      <c r="BE131" s="211"/>
      <c r="BF131" s="212"/>
      <c r="BG131" s="211"/>
      <c r="BH131" s="212"/>
      <c r="BI131" s="211"/>
      <c r="BJ131" s="212"/>
      <c r="BK131" s="211"/>
      <c r="BL131" s="212"/>
      <c r="BM131" s="211"/>
      <c r="BN131" s="216"/>
      <c r="BO131" s="211"/>
      <c r="BP131" s="217"/>
      <c r="BQ131" s="211"/>
      <c r="BR131" s="208"/>
      <c r="BS131" s="208"/>
      <c r="BT131" s="212"/>
      <c r="BU131" s="209"/>
      <c r="BV131" s="212">
        <v>1</v>
      </c>
      <c r="BW131" s="211">
        <v>500</v>
      </c>
      <c r="BX131" s="215"/>
      <c r="BY131" s="211"/>
      <c r="BZ131" s="212"/>
      <c r="CA131" s="211"/>
      <c r="CB131" s="212"/>
      <c r="CC131" s="211"/>
      <c r="CD131" s="208"/>
      <c r="CE131" s="211"/>
      <c r="CF131" s="212"/>
      <c r="CG131" s="211"/>
      <c r="CH131" s="212"/>
      <c r="CI131" s="211"/>
      <c r="CJ131" s="212"/>
      <c r="CK131" s="211"/>
      <c r="CL131" s="215"/>
      <c r="CM131" s="211"/>
      <c r="CN131" s="220"/>
      <c r="CO131" s="209"/>
      <c r="CP131" s="220"/>
      <c r="CQ131" s="220"/>
      <c r="CR131" s="212"/>
      <c r="CS131" s="211"/>
      <c r="CT131" s="212"/>
      <c r="CU131" s="211"/>
      <c r="CV131" s="212"/>
      <c r="CW131" s="211"/>
      <c r="CX131" s="220"/>
      <c r="CY131" s="209"/>
      <c r="CZ131" s="208"/>
      <c r="DA131" s="211"/>
      <c r="DB131" s="221"/>
      <c r="DC131" s="222"/>
      <c r="DD131" s="221"/>
      <c r="DE131" s="222"/>
      <c r="DF131" s="223">
        <f t="shared" si="29"/>
        <v>0</v>
      </c>
      <c r="DG131" s="222">
        <f t="shared" si="30"/>
        <v>0</v>
      </c>
      <c r="DH131" s="249">
        <f t="shared" si="27"/>
        <v>2</v>
      </c>
      <c r="DI131" s="222">
        <f>C131+DA131+DC131+E131+G131+I131+K131+M131+O131+Q131+S131+U131+W131+Y131+AA131+AC131+AE131+AG131+AI131+AK131+AM131+AO131+AQ131+AS131+AU131+AW131+AY131+BA131+BC131+BE131+BG131+BI131+BK131+BM131+BO131+BQ131+BS131+BU131+BW131+BY131+CA131+CC131+CE131+CG131+CI131+CK131+CM131+CQ131+CS131+CU131+CW131+CY131+CO131+DE131</f>
        <v>3000</v>
      </c>
      <c r="DJ131" s="223">
        <f>DH131+30</f>
        <v>32</v>
      </c>
      <c r="DK131" s="222">
        <f>DI131+46600</f>
        <v>49600</v>
      </c>
      <c r="DL131" s="7"/>
      <c r="DM131" s="7"/>
      <c r="DN131" s="4"/>
    </row>
    <row r="132" spans="1:118" hidden="1" x14ac:dyDescent="0.3">
      <c r="A132" s="259" t="s">
        <v>250</v>
      </c>
      <c r="B132" s="208"/>
      <c r="C132" s="211"/>
      <c r="D132" s="210"/>
      <c r="E132" s="211"/>
      <c r="F132" s="212"/>
      <c r="G132" s="211"/>
      <c r="H132" s="212"/>
      <c r="I132" s="211"/>
      <c r="J132" s="212"/>
      <c r="K132" s="211"/>
      <c r="L132" s="212"/>
      <c r="M132" s="211"/>
      <c r="N132" s="212"/>
      <c r="O132" s="211"/>
      <c r="P132" s="212"/>
      <c r="Q132" s="211"/>
      <c r="R132" s="212"/>
      <c r="S132" s="211"/>
      <c r="T132" s="213"/>
      <c r="U132" s="218"/>
      <c r="V132" s="214"/>
      <c r="W132" s="211"/>
      <c r="X132" s="214"/>
      <c r="Y132" s="211"/>
      <c r="Z132" s="212"/>
      <c r="AA132" s="211"/>
      <c r="AB132" s="212"/>
      <c r="AC132" s="211"/>
      <c r="AD132" s="215"/>
      <c r="AE132" s="211"/>
      <c r="AF132" s="212"/>
      <c r="AG132" s="211"/>
      <c r="AH132" s="212"/>
      <c r="AI132" s="211"/>
      <c r="AJ132" s="212"/>
      <c r="AK132" s="211"/>
      <c r="AL132" s="212"/>
      <c r="AM132" s="211"/>
      <c r="AN132" s="212"/>
      <c r="AO132" s="211"/>
      <c r="AP132" s="212"/>
      <c r="AQ132" s="211"/>
      <c r="AR132" s="212"/>
      <c r="AS132" s="211"/>
      <c r="AT132" s="212"/>
      <c r="AU132" s="211"/>
      <c r="AV132" s="216"/>
      <c r="AW132" s="211"/>
      <c r="AX132" s="212"/>
      <c r="AY132" s="211"/>
      <c r="AZ132" s="212"/>
      <c r="BA132" s="211"/>
      <c r="BB132" s="212"/>
      <c r="BC132" s="211"/>
      <c r="BD132" s="212"/>
      <c r="BE132" s="211"/>
      <c r="BF132" s="212"/>
      <c r="BG132" s="211"/>
      <c r="BH132" s="212"/>
      <c r="BI132" s="211"/>
      <c r="BJ132" s="212"/>
      <c r="BK132" s="211"/>
      <c r="BL132" s="212"/>
      <c r="BM132" s="211"/>
      <c r="BN132" s="216"/>
      <c r="BO132" s="211"/>
      <c r="BP132" s="217"/>
      <c r="BQ132" s="211"/>
      <c r="BR132" s="208"/>
      <c r="BS132" s="208"/>
      <c r="BT132" s="212"/>
      <c r="BU132" s="209"/>
      <c r="BV132" s="212"/>
      <c r="BW132" s="211"/>
      <c r="BX132" s="215"/>
      <c r="BY132" s="211"/>
      <c r="BZ132" s="212"/>
      <c r="CA132" s="211"/>
      <c r="CB132" s="212"/>
      <c r="CC132" s="211"/>
      <c r="CD132" s="208"/>
      <c r="CE132" s="211"/>
      <c r="CF132" s="212"/>
      <c r="CG132" s="211"/>
      <c r="CH132" s="212"/>
      <c r="CI132" s="211"/>
      <c r="CJ132" s="212"/>
      <c r="CK132" s="211"/>
      <c r="CL132" s="215"/>
      <c r="CM132" s="211"/>
      <c r="CN132" s="220"/>
      <c r="CO132" s="209"/>
      <c r="CP132" s="220"/>
      <c r="CQ132" s="220"/>
      <c r="CR132" s="212"/>
      <c r="CS132" s="211"/>
      <c r="CT132" s="212"/>
      <c r="CU132" s="211"/>
      <c r="CV132" s="212"/>
      <c r="CW132" s="211"/>
      <c r="CX132" s="220"/>
      <c r="CY132" s="209"/>
      <c r="CZ132" s="208"/>
      <c r="DA132" s="211"/>
      <c r="DB132" s="221"/>
      <c r="DC132" s="222"/>
      <c r="DD132" s="221"/>
      <c r="DE132" s="222"/>
      <c r="DF132" s="223">
        <f t="shared" si="29"/>
        <v>0</v>
      </c>
      <c r="DG132" s="222">
        <f t="shared" si="30"/>
        <v>0</v>
      </c>
      <c r="DH132" s="249">
        <f t="shared" ref="DH132:DH133" si="31">B132+CZ132+DB132+D132+F132+H132+J132+L132+N132+P132+R132+T132+V132+X132+Z132+AB132+AD132+AF132+AH132+AJ132+AL132+AN132+AP132+AR132+AT132+AV132+AX132+AZ132+BB132+BD132+BF132+BH132+BJ132+BL132+BN132+BP132+BR132+BT132+BV132+BX132+BZ132+CB132+CD132+CF132+CH132+CJ132+CL132+CP132+CR132+CT132+CV132+CX132+CN132+DD132</f>
        <v>0</v>
      </c>
      <c r="DI132" s="222">
        <f t="shared" ref="DI132" si="32">C132+DA132+DC132+E132+G132+I132+K132+M132+O132+Q132+S132+U132+W132+Y132+AA132+AC132+AE132+AG132+AI132+AK132+AM132+AO132+AQ132+AS132+AU132+AW132+AY132+BA132+BC132+BE132+BG132+BI132+BK132+BM132+BO132+BQ132+BS132+BU132+BW132+BY132+CA132+CC132+CE132+CG132+CI132+CK132+CM132+CQ132+CS132+CU132+CW132+CY132+CO132+DE132</f>
        <v>0</v>
      </c>
      <c r="DJ132" s="223"/>
      <c r="DK132" s="222"/>
      <c r="DL132" s="7"/>
      <c r="DM132" s="7"/>
      <c r="DN132" s="4"/>
    </row>
    <row r="133" spans="1:118" ht="14.25" customHeight="1" x14ac:dyDescent="0.3">
      <c r="A133" s="208" t="s">
        <v>251</v>
      </c>
      <c r="B133" s="208"/>
      <c r="C133" s="211"/>
      <c r="D133" s="210"/>
      <c r="E133" s="211"/>
      <c r="F133" s="212"/>
      <c r="G133" s="211"/>
      <c r="H133" s="212"/>
      <c r="I133" s="211"/>
      <c r="J133" s="212"/>
      <c r="K133" s="211"/>
      <c r="L133" s="212"/>
      <c r="M133" s="211"/>
      <c r="N133" s="212"/>
      <c r="O133" s="211"/>
      <c r="P133" s="212"/>
      <c r="Q133" s="211"/>
      <c r="R133" s="212"/>
      <c r="S133" s="211"/>
      <c r="T133" s="213"/>
      <c r="U133" s="218"/>
      <c r="V133" s="214"/>
      <c r="W133" s="211"/>
      <c r="X133" s="214"/>
      <c r="Y133" s="211"/>
      <c r="Z133" s="212"/>
      <c r="AA133" s="211"/>
      <c r="AB133" s="212"/>
      <c r="AC133" s="211"/>
      <c r="AD133" s="215"/>
      <c r="AE133" s="211"/>
      <c r="AF133" s="212"/>
      <c r="AG133" s="211"/>
      <c r="AH133" s="212"/>
      <c r="AI133" s="211"/>
      <c r="AJ133" s="212"/>
      <c r="AK133" s="211"/>
      <c r="AL133" s="212"/>
      <c r="AM133" s="211"/>
      <c r="AN133" s="212"/>
      <c r="AO133" s="211"/>
      <c r="AP133" s="212"/>
      <c r="AQ133" s="211"/>
      <c r="AR133" s="212"/>
      <c r="AS133" s="211"/>
      <c r="AT133" s="212"/>
      <c r="AU133" s="211"/>
      <c r="AV133" s="216"/>
      <c r="AW133" s="211"/>
      <c r="AX133" s="212"/>
      <c r="AY133" s="211"/>
      <c r="AZ133" s="212"/>
      <c r="BA133" s="211"/>
      <c r="BB133" s="212"/>
      <c r="BC133" s="211"/>
      <c r="BD133" s="212"/>
      <c r="BE133" s="211"/>
      <c r="BF133" s="212"/>
      <c r="BG133" s="211"/>
      <c r="BH133" s="212"/>
      <c r="BI133" s="211"/>
      <c r="BJ133" s="212"/>
      <c r="BK133" s="211"/>
      <c r="BL133" s="212"/>
      <c r="BM133" s="211"/>
      <c r="BN133" s="216"/>
      <c r="BO133" s="211"/>
      <c r="BP133" s="217"/>
      <c r="BQ133" s="211"/>
      <c r="BR133" s="208"/>
      <c r="BS133" s="208"/>
      <c r="BT133" s="212"/>
      <c r="BU133" s="209"/>
      <c r="BV133" s="212"/>
      <c r="BW133" s="211"/>
      <c r="BX133" s="215"/>
      <c r="BY133" s="211"/>
      <c r="BZ133" s="212"/>
      <c r="CA133" s="211"/>
      <c r="CB133" s="212"/>
      <c r="CC133" s="211"/>
      <c r="CD133" s="208"/>
      <c r="CE133" s="211"/>
      <c r="CF133" s="212"/>
      <c r="CG133" s="211"/>
      <c r="CH133" s="212"/>
      <c r="CI133" s="211"/>
      <c r="CJ133" s="212"/>
      <c r="CK133" s="211"/>
      <c r="CL133" s="215"/>
      <c r="CM133" s="211"/>
      <c r="CN133" s="220"/>
      <c r="CO133" s="209"/>
      <c r="CP133" s="220"/>
      <c r="CQ133" s="220"/>
      <c r="CR133" s="212">
        <v>1</v>
      </c>
      <c r="CS133" s="211">
        <v>1200</v>
      </c>
      <c r="CT133" s="212"/>
      <c r="CU133" s="211"/>
      <c r="CV133" s="212"/>
      <c r="CW133" s="211"/>
      <c r="CX133" s="220">
        <v>1</v>
      </c>
      <c r="CY133" s="209">
        <v>900</v>
      </c>
      <c r="CZ133" s="208"/>
      <c r="DA133" s="211"/>
      <c r="DB133" s="221">
        <v>1</v>
      </c>
      <c r="DC133" s="222">
        <v>2100</v>
      </c>
      <c r="DD133" s="221"/>
      <c r="DE133" s="222"/>
      <c r="DF133" s="223">
        <f t="shared" ref="DF133" si="33">CV133+CX133+CZ133+DB133+DD133</f>
        <v>2</v>
      </c>
      <c r="DG133" s="222">
        <f t="shared" ref="DG133" si="34">CW133+CY133+DA133+DC133+DE133</f>
        <v>3000</v>
      </c>
      <c r="DH133" s="249">
        <f t="shared" si="31"/>
        <v>3</v>
      </c>
      <c r="DI133" s="222">
        <f t="shared" ref="DI133:DI138" si="35">C133+DA133+DC133+E133+G133+I133+K133+M133+O133+Q133+S133+U133+W133+Y133+AA133+AC133+AE133+AG133+AI133+AK133+AM133+AO133+AQ133+AS133+AU133+AW133+AY133+BA133+BC133+BE133+BG133+BI133+BK133+BM133+BO133+BQ133+BS133+BU133+BW133+BY133+CA133+CC133+CE133+CG133+CI133+CK133+CM133+CQ133+CS133+CU133+CW133+CY133+CO133+DE133</f>
        <v>4200</v>
      </c>
      <c r="DJ133" s="223">
        <f>DH133+22</f>
        <v>25</v>
      </c>
      <c r="DK133" s="222">
        <f>DI133+25970</f>
        <v>30170</v>
      </c>
      <c r="DL133" s="7"/>
      <c r="DM133" s="7"/>
      <c r="DN133" s="4"/>
    </row>
    <row r="134" spans="1:118" ht="31.2" hidden="1" x14ac:dyDescent="0.3">
      <c r="A134" s="208" t="s">
        <v>252</v>
      </c>
      <c r="B134" s="208"/>
      <c r="C134" s="211"/>
      <c r="D134" s="210"/>
      <c r="E134" s="211"/>
      <c r="F134" s="212"/>
      <c r="G134" s="211"/>
      <c r="H134" s="212"/>
      <c r="I134" s="211"/>
      <c r="J134" s="212"/>
      <c r="K134" s="211"/>
      <c r="L134" s="212"/>
      <c r="M134" s="211"/>
      <c r="N134" s="212"/>
      <c r="O134" s="211"/>
      <c r="P134" s="212"/>
      <c r="Q134" s="211"/>
      <c r="R134" s="212"/>
      <c r="S134" s="211"/>
      <c r="T134" s="213"/>
      <c r="U134" s="218"/>
      <c r="V134" s="214"/>
      <c r="W134" s="211"/>
      <c r="X134" s="214"/>
      <c r="Y134" s="211"/>
      <c r="Z134" s="212"/>
      <c r="AA134" s="211"/>
      <c r="AB134" s="212"/>
      <c r="AC134" s="211"/>
      <c r="AD134" s="215"/>
      <c r="AE134" s="211"/>
      <c r="AF134" s="212"/>
      <c r="AG134" s="211"/>
      <c r="AH134" s="212"/>
      <c r="AI134" s="211"/>
      <c r="AJ134" s="212"/>
      <c r="AK134" s="211"/>
      <c r="AL134" s="212"/>
      <c r="AM134" s="211"/>
      <c r="AN134" s="212"/>
      <c r="AO134" s="211"/>
      <c r="AP134" s="212"/>
      <c r="AQ134" s="211"/>
      <c r="AR134" s="212"/>
      <c r="AS134" s="211"/>
      <c r="AT134" s="212"/>
      <c r="AU134" s="211"/>
      <c r="AV134" s="216"/>
      <c r="AW134" s="211"/>
      <c r="AX134" s="212"/>
      <c r="AY134" s="211"/>
      <c r="AZ134" s="212"/>
      <c r="BA134" s="211"/>
      <c r="BB134" s="212"/>
      <c r="BC134" s="211"/>
      <c r="BD134" s="212"/>
      <c r="BE134" s="211"/>
      <c r="BF134" s="212"/>
      <c r="BG134" s="211"/>
      <c r="BH134" s="212"/>
      <c r="BI134" s="211"/>
      <c r="BJ134" s="212"/>
      <c r="BK134" s="211"/>
      <c r="BL134" s="212"/>
      <c r="BM134" s="211"/>
      <c r="BN134" s="216"/>
      <c r="BO134" s="211"/>
      <c r="BP134" s="217"/>
      <c r="BQ134" s="211"/>
      <c r="BR134" s="208"/>
      <c r="BS134" s="208"/>
      <c r="BT134" s="212"/>
      <c r="BU134" s="209"/>
      <c r="BV134" s="212"/>
      <c r="BW134" s="211"/>
      <c r="BX134" s="215"/>
      <c r="BY134" s="211"/>
      <c r="BZ134" s="212"/>
      <c r="CA134" s="211"/>
      <c r="CB134" s="212"/>
      <c r="CC134" s="211"/>
      <c r="CD134" s="208"/>
      <c r="CE134" s="211"/>
      <c r="CF134" s="212"/>
      <c r="CG134" s="211"/>
      <c r="CH134" s="212"/>
      <c r="CI134" s="211"/>
      <c r="CJ134" s="212"/>
      <c r="CK134" s="211"/>
      <c r="CL134" s="215"/>
      <c r="CM134" s="211"/>
      <c r="CN134" s="220"/>
      <c r="CO134" s="209"/>
      <c r="CP134" s="220"/>
      <c r="CQ134" s="220"/>
      <c r="CR134" s="212"/>
      <c r="CS134" s="211"/>
      <c r="CT134" s="212"/>
      <c r="CU134" s="211"/>
      <c r="CV134" s="212"/>
      <c r="CW134" s="211"/>
      <c r="CX134" s="220"/>
      <c r="CY134" s="209"/>
      <c r="CZ134" s="208"/>
      <c r="DA134" s="211"/>
      <c r="DB134" s="221"/>
      <c r="DC134" s="222"/>
      <c r="DD134" s="221"/>
      <c r="DE134" s="222"/>
      <c r="DF134" s="223">
        <f t="shared" ref="DF134:DF136" si="36">CV134+CX134+CZ134+DB134+DD134</f>
        <v>0</v>
      </c>
      <c r="DG134" s="222">
        <f t="shared" ref="DG134:DG136" si="37">CW134+CY134+DA134+DC134+DE134</f>
        <v>0</v>
      </c>
      <c r="DH134" s="249">
        <f t="shared" ref="DH134:DH138" si="38">B134+CZ134+DB134+D134+F134+H134+J134+L134+N134+P134+R134+T134+V134+X134+Z134+AB134+AD134+AF134+AH134+AJ134+AL134+AN134+AP134+AR134+AT134+AV134+AX134+AZ134+BB134+BD134+BF134+BH134+BJ134+BL134+BN134+BP134+BR134+BT134+BV134+BX134+BZ134+CB134+CD134+CF134+CH134+CJ134+CL134+CP134+CR134+CT134+CV134+CX134+CN134+DD134</f>
        <v>0</v>
      </c>
      <c r="DI134" s="222">
        <f t="shared" si="35"/>
        <v>0</v>
      </c>
      <c r="DJ134" s="223"/>
      <c r="DK134" s="222"/>
      <c r="DL134" s="7"/>
      <c r="DM134" s="7"/>
      <c r="DN134" s="4"/>
    </row>
    <row r="135" spans="1:118" x14ac:dyDescent="0.3">
      <c r="A135" s="208" t="s">
        <v>253</v>
      </c>
      <c r="B135" s="208">
        <v>2</v>
      </c>
      <c r="C135" s="211">
        <v>8000</v>
      </c>
      <c r="D135" s="210">
        <v>4</v>
      </c>
      <c r="E135" s="211">
        <v>10450</v>
      </c>
      <c r="F135" s="212">
        <v>6</v>
      </c>
      <c r="G135" s="211">
        <v>14300</v>
      </c>
      <c r="H135" s="212">
        <v>7</v>
      </c>
      <c r="I135" s="211">
        <v>7650</v>
      </c>
      <c r="J135" s="212">
        <v>7</v>
      </c>
      <c r="K135" s="211">
        <v>12680</v>
      </c>
      <c r="L135" s="212">
        <v>5</v>
      </c>
      <c r="M135" s="211">
        <v>9760</v>
      </c>
      <c r="N135" s="212">
        <v>5</v>
      </c>
      <c r="O135" s="211">
        <v>12300</v>
      </c>
      <c r="P135" s="212">
        <v>6</v>
      </c>
      <c r="Q135" s="211">
        <v>13800</v>
      </c>
      <c r="R135" s="212">
        <v>2</v>
      </c>
      <c r="S135" s="211">
        <v>3580</v>
      </c>
      <c r="T135" s="213">
        <v>9</v>
      </c>
      <c r="U135" s="218">
        <v>26565</v>
      </c>
      <c r="V135" s="214">
        <v>7</v>
      </c>
      <c r="W135" s="211">
        <v>13200</v>
      </c>
      <c r="X135" s="214">
        <v>9</v>
      </c>
      <c r="Y135" s="211">
        <v>20156</v>
      </c>
      <c r="Z135" s="212">
        <v>2</v>
      </c>
      <c r="AA135" s="211">
        <v>1100</v>
      </c>
      <c r="AB135" s="212">
        <v>4</v>
      </c>
      <c r="AC135" s="211">
        <v>7030</v>
      </c>
      <c r="AD135" s="215">
        <v>6</v>
      </c>
      <c r="AE135" s="211">
        <v>2060</v>
      </c>
      <c r="AF135" s="212">
        <v>8</v>
      </c>
      <c r="AG135" s="211">
        <v>12070</v>
      </c>
      <c r="AH135" s="212"/>
      <c r="AI135" s="211"/>
      <c r="AJ135" s="212">
        <v>8</v>
      </c>
      <c r="AK135" s="211">
        <v>10040</v>
      </c>
      <c r="AL135" s="212">
        <v>4</v>
      </c>
      <c r="AM135" s="211">
        <v>6500</v>
      </c>
      <c r="AN135" s="212">
        <v>2</v>
      </c>
      <c r="AO135" s="211">
        <v>2500</v>
      </c>
      <c r="AP135" s="212">
        <v>4</v>
      </c>
      <c r="AQ135" s="211">
        <v>6720</v>
      </c>
      <c r="AR135" s="212">
        <v>7</v>
      </c>
      <c r="AS135" s="211">
        <v>11150</v>
      </c>
      <c r="AT135" s="212">
        <v>6</v>
      </c>
      <c r="AU135" s="211">
        <v>11840</v>
      </c>
      <c r="AV135" s="216">
        <v>9</v>
      </c>
      <c r="AW135" s="211">
        <v>14128</v>
      </c>
      <c r="AX135" s="212">
        <v>7</v>
      </c>
      <c r="AY135" s="211">
        <v>9550</v>
      </c>
      <c r="AZ135" s="212">
        <v>1</v>
      </c>
      <c r="BA135" s="211">
        <v>350</v>
      </c>
      <c r="BB135" s="212">
        <v>6</v>
      </c>
      <c r="BC135" s="211">
        <v>5500</v>
      </c>
      <c r="BD135" s="212">
        <v>3</v>
      </c>
      <c r="BE135" s="211">
        <v>3150</v>
      </c>
      <c r="BF135" s="212">
        <v>7</v>
      </c>
      <c r="BG135" s="211">
        <v>10150</v>
      </c>
      <c r="BH135" s="212">
        <v>4</v>
      </c>
      <c r="BI135" s="211">
        <v>7300</v>
      </c>
      <c r="BJ135" s="212">
        <v>4</v>
      </c>
      <c r="BK135" s="211">
        <v>3700</v>
      </c>
      <c r="BL135" s="212">
        <v>6</v>
      </c>
      <c r="BM135" s="211">
        <v>11500</v>
      </c>
      <c r="BN135" s="216">
        <v>9</v>
      </c>
      <c r="BO135" s="211">
        <v>10960</v>
      </c>
      <c r="BP135" s="213">
        <v>10</v>
      </c>
      <c r="BQ135" s="211">
        <v>15150</v>
      </c>
      <c r="BR135" s="216">
        <v>6</v>
      </c>
      <c r="BS135" s="211">
        <v>5310</v>
      </c>
      <c r="BT135" s="212"/>
      <c r="BU135" s="209"/>
      <c r="BV135" s="212">
        <v>6</v>
      </c>
      <c r="BW135" s="211">
        <v>7700</v>
      </c>
      <c r="BX135" s="215">
        <v>4</v>
      </c>
      <c r="BY135" s="211">
        <v>8560</v>
      </c>
      <c r="BZ135" s="212">
        <v>3</v>
      </c>
      <c r="CA135" s="211">
        <v>5117</v>
      </c>
      <c r="CB135" s="212">
        <v>2</v>
      </c>
      <c r="CC135" s="211">
        <v>600</v>
      </c>
      <c r="CD135" s="212">
        <v>8</v>
      </c>
      <c r="CE135" s="211">
        <v>13400</v>
      </c>
      <c r="CF135" s="212">
        <v>6</v>
      </c>
      <c r="CG135" s="211">
        <v>10749</v>
      </c>
      <c r="CH135" s="212">
        <v>8</v>
      </c>
      <c r="CI135" s="211">
        <v>11070</v>
      </c>
      <c r="CJ135" s="212">
        <v>6</v>
      </c>
      <c r="CK135" s="211">
        <v>8230</v>
      </c>
      <c r="CL135" s="215">
        <v>8</v>
      </c>
      <c r="CM135" s="211">
        <v>9450</v>
      </c>
      <c r="CN135" s="220">
        <v>9</v>
      </c>
      <c r="CO135" s="209">
        <v>14470</v>
      </c>
      <c r="CP135" s="220">
        <v>11</v>
      </c>
      <c r="CQ135" s="220">
        <v>21580</v>
      </c>
      <c r="CR135" s="212">
        <v>4</v>
      </c>
      <c r="CS135" s="211">
        <v>9500</v>
      </c>
      <c r="CT135" s="212">
        <v>7</v>
      </c>
      <c r="CU135" s="211">
        <v>13770</v>
      </c>
      <c r="CV135" s="212"/>
      <c r="CW135" s="211"/>
      <c r="CX135" s="220">
        <v>8</v>
      </c>
      <c r="CY135" s="209">
        <v>11100</v>
      </c>
      <c r="CZ135" s="208">
        <v>10</v>
      </c>
      <c r="DA135" s="211">
        <v>21670</v>
      </c>
      <c r="DB135" s="221">
        <v>11</v>
      </c>
      <c r="DC135" s="222">
        <v>20220</v>
      </c>
      <c r="DD135" s="221">
        <v>17</v>
      </c>
      <c r="DE135" s="222">
        <v>28070</v>
      </c>
      <c r="DF135" s="223">
        <f t="shared" si="36"/>
        <v>46</v>
      </c>
      <c r="DG135" s="222">
        <f t="shared" si="37"/>
        <v>81060</v>
      </c>
      <c r="DH135" s="249">
        <f t="shared" si="38"/>
        <v>320</v>
      </c>
      <c r="DI135" s="222">
        <f t="shared" si="35"/>
        <v>535455</v>
      </c>
      <c r="DJ135" s="223">
        <f>DH135+3081</f>
        <v>3401</v>
      </c>
      <c r="DK135" s="222">
        <f>DI135+4665574.49</f>
        <v>5201029.49</v>
      </c>
      <c r="DL135" s="7"/>
      <c r="DM135" s="7"/>
      <c r="DN135" s="4"/>
    </row>
    <row r="136" spans="1:118" ht="15" customHeight="1" x14ac:dyDescent="0.3">
      <c r="A136" s="208" t="s">
        <v>254</v>
      </c>
      <c r="B136" s="208"/>
      <c r="C136" s="211"/>
      <c r="D136" s="210"/>
      <c r="E136" s="211"/>
      <c r="F136" s="212"/>
      <c r="G136" s="211"/>
      <c r="H136" s="212"/>
      <c r="I136" s="211"/>
      <c r="J136" s="212"/>
      <c r="K136" s="211"/>
      <c r="L136" s="212"/>
      <c r="M136" s="211"/>
      <c r="N136" s="212"/>
      <c r="O136" s="211"/>
      <c r="P136" s="212"/>
      <c r="Q136" s="211"/>
      <c r="R136" s="212"/>
      <c r="S136" s="211"/>
      <c r="T136" s="216"/>
      <c r="U136" s="218"/>
      <c r="V136" s="214"/>
      <c r="W136" s="211"/>
      <c r="X136" s="214"/>
      <c r="Y136" s="211"/>
      <c r="Z136" s="212"/>
      <c r="AA136" s="211"/>
      <c r="AB136" s="212"/>
      <c r="AC136" s="211"/>
      <c r="AD136" s="215"/>
      <c r="AE136" s="211"/>
      <c r="AF136" s="212"/>
      <c r="AG136" s="211"/>
      <c r="AH136" s="212"/>
      <c r="AI136" s="211"/>
      <c r="AJ136" s="212"/>
      <c r="AK136" s="211"/>
      <c r="AL136" s="212"/>
      <c r="AM136" s="211"/>
      <c r="AN136" s="212"/>
      <c r="AO136" s="211"/>
      <c r="AP136" s="212"/>
      <c r="AQ136" s="211"/>
      <c r="AR136" s="212"/>
      <c r="AS136" s="211"/>
      <c r="AT136" s="212"/>
      <c r="AU136" s="211"/>
      <c r="AV136" s="216"/>
      <c r="AW136" s="211"/>
      <c r="AX136" s="212"/>
      <c r="AY136" s="211"/>
      <c r="AZ136" s="212"/>
      <c r="BA136" s="211"/>
      <c r="BB136" s="212"/>
      <c r="BC136" s="211"/>
      <c r="BD136" s="212"/>
      <c r="BE136" s="211"/>
      <c r="BF136" s="212"/>
      <c r="BG136" s="211"/>
      <c r="BH136" s="212"/>
      <c r="BI136" s="211"/>
      <c r="BJ136" s="212"/>
      <c r="BK136" s="211"/>
      <c r="BL136" s="212"/>
      <c r="BM136" s="211"/>
      <c r="BN136" s="216"/>
      <c r="BO136" s="211"/>
      <c r="BP136" s="217"/>
      <c r="BQ136" s="211"/>
      <c r="BR136" s="208"/>
      <c r="BS136" s="208"/>
      <c r="BT136" s="212"/>
      <c r="BU136" s="209"/>
      <c r="BV136" s="212"/>
      <c r="BW136" s="211"/>
      <c r="BX136" s="215"/>
      <c r="BY136" s="211"/>
      <c r="BZ136" s="212"/>
      <c r="CA136" s="211"/>
      <c r="CB136" s="212"/>
      <c r="CC136" s="211"/>
      <c r="CD136" s="208"/>
      <c r="CE136" s="211"/>
      <c r="CF136" s="212"/>
      <c r="CG136" s="211"/>
      <c r="CH136" s="212"/>
      <c r="CI136" s="211"/>
      <c r="CJ136" s="212"/>
      <c r="CK136" s="211"/>
      <c r="CL136" s="215"/>
      <c r="CM136" s="211"/>
      <c r="CN136" s="220"/>
      <c r="CO136" s="209"/>
      <c r="CP136" s="220"/>
      <c r="CQ136" s="220"/>
      <c r="CR136" s="212"/>
      <c r="CS136" s="211"/>
      <c r="CT136" s="212"/>
      <c r="CU136" s="211"/>
      <c r="CV136" s="212"/>
      <c r="CW136" s="211"/>
      <c r="CX136" s="220"/>
      <c r="CY136" s="209"/>
      <c r="CZ136" s="208"/>
      <c r="DA136" s="211"/>
      <c r="DB136" s="221"/>
      <c r="DC136" s="222"/>
      <c r="DD136" s="221"/>
      <c r="DE136" s="222"/>
      <c r="DF136" s="223">
        <f t="shared" si="36"/>
        <v>0</v>
      </c>
      <c r="DG136" s="222">
        <f t="shared" si="37"/>
        <v>0</v>
      </c>
      <c r="DH136" s="249">
        <f t="shared" si="38"/>
        <v>0</v>
      </c>
      <c r="DI136" s="222">
        <f t="shared" si="35"/>
        <v>0</v>
      </c>
      <c r="DJ136" s="223">
        <f>DH136+25</f>
        <v>25</v>
      </c>
      <c r="DK136" s="222">
        <f>DI136+24300</f>
        <v>24300</v>
      </c>
      <c r="DL136" s="7"/>
      <c r="DM136" s="7"/>
      <c r="DN136" s="4"/>
    </row>
    <row r="137" spans="1:118" hidden="1" x14ac:dyDescent="0.3">
      <c r="A137" s="259"/>
      <c r="B137" s="208"/>
      <c r="C137" s="211"/>
      <c r="D137" s="210"/>
      <c r="E137" s="211"/>
      <c r="F137" s="212"/>
      <c r="G137" s="211"/>
      <c r="H137" s="212"/>
      <c r="I137" s="211"/>
      <c r="J137" s="212"/>
      <c r="K137" s="211"/>
      <c r="L137" s="212"/>
      <c r="M137" s="211"/>
      <c r="N137" s="212"/>
      <c r="O137" s="211"/>
      <c r="P137" s="212"/>
      <c r="Q137" s="211"/>
      <c r="R137" s="212"/>
      <c r="S137" s="211"/>
      <c r="T137" s="216"/>
      <c r="U137" s="211"/>
      <c r="V137" s="214"/>
      <c r="W137" s="211"/>
      <c r="X137" s="214"/>
      <c r="Y137" s="211"/>
      <c r="Z137" s="212"/>
      <c r="AA137" s="211"/>
      <c r="AB137" s="212"/>
      <c r="AC137" s="211"/>
      <c r="AD137" s="215"/>
      <c r="AE137" s="211"/>
      <c r="AF137" s="212"/>
      <c r="AG137" s="211"/>
      <c r="AH137" s="212"/>
      <c r="AI137" s="211"/>
      <c r="AJ137" s="212"/>
      <c r="AK137" s="211"/>
      <c r="AL137" s="212"/>
      <c r="AM137" s="211"/>
      <c r="AN137" s="212"/>
      <c r="AO137" s="211"/>
      <c r="AP137" s="212"/>
      <c r="AQ137" s="211"/>
      <c r="AR137" s="212"/>
      <c r="AS137" s="211"/>
      <c r="AT137" s="212"/>
      <c r="AU137" s="211"/>
      <c r="AV137" s="216"/>
      <c r="AW137" s="211"/>
      <c r="AX137" s="212"/>
      <c r="AY137" s="211"/>
      <c r="AZ137" s="212"/>
      <c r="BA137" s="211"/>
      <c r="BB137" s="212"/>
      <c r="BC137" s="211"/>
      <c r="BD137" s="212"/>
      <c r="BE137" s="211"/>
      <c r="BF137" s="212"/>
      <c r="BG137" s="211"/>
      <c r="BH137" s="212"/>
      <c r="BI137" s="211"/>
      <c r="BJ137" s="212"/>
      <c r="BK137" s="211"/>
      <c r="BL137" s="212"/>
      <c r="BM137" s="211"/>
      <c r="BN137" s="216"/>
      <c r="BO137" s="211"/>
      <c r="BP137" s="217"/>
      <c r="BQ137" s="211"/>
      <c r="BR137" s="208"/>
      <c r="BS137" s="208"/>
      <c r="BT137" s="212"/>
      <c r="BU137" s="209"/>
      <c r="BV137" s="212"/>
      <c r="BW137" s="211"/>
      <c r="BX137" s="215"/>
      <c r="BY137" s="211"/>
      <c r="BZ137" s="212"/>
      <c r="CA137" s="211"/>
      <c r="CB137" s="212"/>
      <c r="CC137" s="211"/>
      <c r="CD137" s="208"/>
      <c r="CE137" s="211"/>
      <c r="CF137" s="212"/>
      <c r="CG137" s="211"/>
      <c r="CH137" s="212"/>
      <c r="CI137" s="211"/>
      <c r="CJ137" s="212"/>
      <c r="CK137" s="211"/>
      <c r="CL137" s="215"/>
      <c r="CM137" s="211"/>
      <c r="CN137" s="211"/>
      <c r="CO137" s="211"/>
      <c r="CP137" s="215"/>
      <c r="CQ137" s="211"/>
      <c r="CR137" s="212"/>
      <c r="CS137" s="211"/>
      <c r="CT137" s="212"/>
      <c r="CU137" s="211"/>
      <c r="CV137" s="212"/>
      <c r="CW137" s="211"/>
      <c r="CX137" s="74"/>
      <c r="CY137" s="70"/>
      <c r="CZ137" s="208"/>
      <c r="DA137" s="211"/>
      <c r="DB137" s="221"/>
      <c r="DC137" s="222"/>
      <c r="DD137" s="221"/>
      <c r="DE137" s="222"/>
      <c r="DF137" s="222"/>
      <c r="DG137" s="222"/>
      <c r="DH137" s="249">
        <f t="shared" si="38"/>
        <v>0</v>
      </c>
      <c r="DI137" s="222">
        <f t="shared" si="35"/>
        <v>0</v>
      </c>
      <c r="DJ137" s="223"/>
      <c r="DK137" s="222"/>
      <c r="DL137" s="7"/>
      <c r="DM137" s="7"/>
      <c r="DN137" s="4"/>
    </row>
    <row r="138" spans="1:118" x14ac:dyDescent="0.3">
      <c r="A138" s="307" t="s">
        <v>161</v>
      </c>
      <c r="B138" s="308">
        <f t="shared" ref="B138:AG138" si="39">SUM(B69:B136)</f>
        <v>4</v>
      </c>
      <c r="C138" s="309">
        <f t="shared" si="39"/>
        <v>10850</v>
      </c>
      <c r="D138" s="310">
        <f t="shared" si="39"/>
        <v>5</v>
      </c>
      <c r="E138" s="309">
        <f t="shared" si="39"/>
        <v>14920</v>
      </c>
      <c r="F138" s="311">
        <f t="shared" si="39"/>
        <v>9</v>
      </c>
      <c r="G138" s="309">
        <f t="shared" si="39"/>
        <v>23800</v>
      </c>
      <c r="H138" s="311">
        <f t="shared" si="39"/>
        <v>8</v>
      </c>
      <c r="I138" s="309">
        <f t="shared" si="39"/>
        <v>8150</v>
      </c>
      <c r="J138" s="311">
        <f t="shared" si="39"/>
        <v>9</v>
      </c>
      <c r="K138" s="309">
        <f t="shared" si="39"/>
        <v>20960</v>
      </c>
      <c r="L138" s="311">
        <f t="shared" si="39"/>
        <v>7</v>
      </c>
      <c r="M138" s="309">
        <f t="shared" si="39"/>
        <v>14478</v>
      </c>
      <c r="N138" s="311">
        <f t="shared" si="39"/>
        <v>11</v>
      </c>
      <c r="O138" s="309">
        <f t="shared" si="39"/>
        <v>32440</v>
      </c>
      <c r="P138" s="311">
        <f t="shared" si="39"/>
        <v>8</v>
      </c>
      <c r="Q138" s="309">
        <f t="shared" si="39"/>
        <v>15000</v>
      </c>
      <c r="R138" s="311">
        <f t="shared" si="39"/>
        <v>4</v>
      </c>
      <c r="S138" s="309">
        <f t="shared" si="39"/>
        <v>11391</v>
      </c>
      <c r="T138" s="312">
        <f t="shared" si="39"/>
        <v>16</v>
      </c>
      <c r="U138" s="309">
        <f t="shared" si="39"/>
        <v>36565</v>
      </c>
      <c r="V138" s="313">
        <f t="shared" si="39"/>
        <v>12</v>
      </c>
      <c r="W138" s="309">
        <f t="shared" si="39"/>
        <v>23270</v>
      </c>
      <c r="X138" s="313">
        <f t="shared" si="39"/>
        <v>12</v>
      </c>
      <c r="Y138" s="309">
        <f t="shared" si="39"/>
        <v>28186</v>
      </c>
      <c r="Z138" s="311">
        <f t="shared" si="39"/>
        <v>6</v>
      </c>
      <c r="AA138" s="309">
        <f t="shared" si="39"/>
        <v>11000</v>
      </c>
      <c r="AB138" s="311">
        <f t="shared" si="39"/>
        <v>10</v>
      </c>
      <c r="AC138" s="309">
        <f t="shared" si="39"/>
        <v>21780</v>
      </c>
      <c r="AD138" s="308">
        <f t="shared" si="39"/>
        <v>12</v>
      </c>
      <c r="AE138" s="309">
        <f t="shared" si="39"/>
        <v>11700</v>
      </c>
      <c r="AF138" s="311">
        <f t="shared" si="39"/>
        <v>16</v>
      </c>
      <c r="AG138" s="309">
        <f t="shared" si="39"/>
        <v>27790</v>
      </c>
      <c r="AH138" s="311">
        <f t="shared" ref="AH138:BM138" si="40">SUM(AH69:AH136)</f>
        <v>2</v>
      </c>
      <c r="AI138" s="309">
        <f t="shared" si="40"/>
        <v>1200</v>
      </c>
      <c r="AJ138" s="311">
        <f t="shared" si="40"/>
        <v>11</v>
      </c>
      <c r="AK138" s="309">
        <f t="shared" si="40"/>
        <v>18040</v>
      </c>
      <c r="AL138" s="311">
        <f t="shared" si="40"/>
        <v>7</v>
      </c>
      <c r="AM138" s="309">
        <f t="shared" si="40"/>
        <v>9450</v>
      </c>
      <c r="AN138" s="311">
        <f t="shared" si="40"/>
        <v>8</v>
      </c>
      <c r="AO138" s="309">
        <f t="shared" si="40"/>
        <v>11600</v>
      </c>
      <c r="AP138" s="311">
        <f t="shared" si="40"/>
        <v>6</v>
      </c>
      <c r="AQ138" s="309">
        <f t="shared" si="40"/>
        <v>9720</v>
      </c>
      <c r="AR138" s="311">
        <f t="shared" si="40"/>
        <v>10</v>
      </c>
      <c r="AS138" s="309">
        <f t="shared" si="40"/>
        <v>18650</v>
      </c>
      <c r="AT138" s="311">
        <f t="shared" si="40"/>
        <v>7</v>
      </c>
      <c r="AU138" s="309">
        <f t="shared" si="40"/>
        <v>14840</v>
      </c>
      <c r="AV138" s="312">
        <f t="shared" si="40"/>
        <v>10</v>
      </c>
      <c r="AW138" s="309">
        <f t="shared" si="40"/>
        <v>15328</v>
      </c>
      <c r="AX138" s="312">
        <f t="shared" si="40"/>
        <v>9</v>
      </c>
      <c r="AY138" s="309">
        <f t="shared" si="40"/>
        <v>11550</v>
      </c>
      <c r="AZ138" s="311">
        <f t="shared" si="40"/>
        <v>1</v>
      </c>
      <c r="BA138" s="309">
        <f t="shared" si="40"/>
        <v>350</v>
      </c>
      <c r="BB138" s="311">
        <f t="shared" si="40"/>
        <v>10</v>
      </c>
      <c r="BC138" s="309">
        <f t="shared" si="40"/>
        <v>12100</v>
      </c>
      <c r="BD138" s="311">
        <f t="shared" si="40"/>
        <v>7</v>
      </c>
      <c r="BE138" s="309">
        <f t="shared" si="40"/>
        <v>7250</v>
      </c>
      <c r="BF138" s="311">
        <f t="shared" si="40"/>
        <v>7</v>
      </c>
      <c r="BG138" s="309">
        <f t="shared" si="40"/>
        <v>10150</v>
      </c>
      <c r="BH138" s="311">
        <f t="shared" si="40"/>
        <v>6</v>
      </c>
      <c r="BI138" s="309">
        <f t="shared" si="40"/>
        <v>11800</v>
      </c>
      <c r="BJ138" s="311">
        <f t="shared" si="40"/>
        <v>7</v>
      </c>
      <c r="BK138" s="309">
        <f t="shared" si="40"/>
        <v>7700</v>
      </c>
      <c r="BL138" s="311">
        <f t="shared" si="40"/>
        <v>10</v>
      </c>
      <c r="BM138" s="309">
        <f t="shared" si="40"/>
        <v>20650</v>
      </c>
      <c r="BN138" s="312">
        <f t="shared" ref="BN138:CU138" si="41">SUM(BN69:BN136)</f>
        <v>14</v>
      </c>
      <c r="BO138" s="309">
        <f t="shared" si="41"/>
        <v>19240</v>
      </c>
      <c r="BP138" s="314">
        <f t="shared" si="41"/>
        <v>11</v>
      </c>
      <c r="BQ138" s="309">
        <f t="shared" si="41"/>
        <v>16850</v>
      </c>
      <c r="BR138" s="312">
        <f t="shared" si="41"/>
        <v>11</v>
      </c>
      <c r="BS138" s="309">
        <f t="shared" si="41"/>
        <v>14330</v>
      </c>
      <c r="BT138" s="311">
        <f t="shared" si="41"/>
        <v>0</v>
      </c>
      <c r="BU138" s="309">
        <f t="shared" si="41"/>
        <v>0</v>
      </c>
      <c r="BV138" s="311">
        <f t="shared" si="41"/>
        <v>9</v>
      </c>
      <c r="BW138" s="309">
        <f t="shared" si="41"/>
        <v>13100</v>
      </c>
      <c r="BX138" s="308">
        <f t="shared" si="41"/>
        <v>10</v>
      </c>
      <c r="BY138" s="309">
        <f t="shared" si="41"/>
        <v>21860</v>
      </c>
      <c r="BZ138" s="311">
        <f t="shared" si="41"/>
        <v>5</v>
      </c>
      <c r="CA138" s="309">
        <f t="shared" si="41"/>
        <v>8467</v>
      </c>
      <c r="CB138" s="311">
        <f t="shared" si="41"/>
        <v>5</v>
      </c>
      <c r="CC138" s="309">
        <f t="shared" si="41"/>
        <v>7210</v>
      </c>
      <c r="CD138" s="308">
        <f t="shared" si="41"/>
        <v>12</v>
      </c>
      <c r="CE138" s="309">
        <f t="shared" si="41"/>
        <v>19100</v>
      </c>
      <c r="CF138" s="311">
        <f t="shared" si="41"/>
        <v>6</v>
      </c>
      <c r="CG138" s="309">
        <f t="shared" si="41"/>
        <v>10749</v>
      </c>
      <c r="CH138" s="311">
        <f t="shared" si="41"/>
        <v>8</v>
      </c>
      <c r="CI138" s="309">
        <f t="shared" si="41"/>
        <v>11070</v>
      </c>
      <c r="CJ138" s="311">
        <f t="shared" si="41"/>
        <v>7</v>
      </c>
      <c r="CK138" s="309">
        <f t="shared" si="41"/>
        <v>11230</v>
      </c>
      <c r="CL138" s="308">
        <f t="shared" si="41"/>
        <v>8</v>
      </c>
      <c r="CM138" s="309">
        <f t="shared" si="41"/>
        <v>9450</v>
      </c>
      <c r="CN138" s="308">
        <f t="shared" si="41"/>
        <v>12</v>
      </c>
      <c r="CO138" s="309">
        <f t="shared" si="41"/>
        <v>15770</v>
      </c>
      <c r="CP138" s="308">
        <f t="shared" si="41"/>
        <v>12</v>
      </c>
      <c r="CQ138" s="309">
        <f t="shared" si="41"/>
        <v>24580</v>
      </c>
      <c r="CR138" s="311">
        <f t="shared" si="41"/>
        <v>8</v>
      </c>
      <c r="CS138" s="309">
        <f t="shared" si="41"/>
        <v>15740</v>
      </c>
      <c r="CT138" s="311">
        <f t="shared" si="41"/>
        <v>9</v>
      </c>
      <c r="CU138" s="309">
        <f t="shared" si="41"/>
        <v>17170</v>
      </c>
      <c r="CV138" s="311">
        <f>SUM(CV69:CV136)</f>
        <v>0</v>
      </c>
      <c r="CW138" s="309">
        <f t="shared" ref="CW138:DC138" si="42">SUM(CW69:CW136)</f>
        <v>0</v>
      </c>
      <c r="CX138" s="311">
        <f>SUM(CX69:CX136)</f>
        <v>11</v>
      </c>
      <c r="CY138" s="309">
        <f t="shared" si="42"/>
        <v>15500</v>
      </c>
      <c r="CZ138" s="308">
        <f t="shared" si="42"/>
        <v>13</v>
      </c>
      <c r="DA138" s="309">
        <f t="shared" si="42"/>
        <v>24260</v>
      </c>
      <c r="DB138" s="309">
        <f>SUM(DB69:DB136)</f>
        <v>17</v>
      </c>
      <c r="DC138" s="309">
        <f t="shared" si="42"/>
        <v>28620</v>
      </c>
      <c r="DD138" s="308">
        <f>SUM(DD69:DD136)</f>
        <v>23</v>
      </c>
      <c r="DE138" s="309">
        <f>SUM(DE69:DE136)</f>
        <v>39212</v>
      </c>
      <c r="DF138" s="308">
        <f>SUM(DF69:DF136)</f>
        <v>64</v>
      </c>
      <c r="DG138" s="309">
        <f>SUM(DG69:DG136)</f>
        <v>107592</v>
      </c>
      <c r="DH138" s="75">
        <f t="shared" si="38"/>
        <v>478</v>
      </c>
      <c r="DI138" s="76">
        <f t="shared" si="35"/>
        <v>836166</v>
      </c>
      <c r="DJ138" s="308">
        <f>SUM(DJ69:DJ137)</f>
        <v>5356</v>
      </c>
      <c r="DK138" s="309">
        <f>SUM(DK69:DK137)</f>
        <v>8085123.1900000004</v>
      </c>
      <c r="DL138" s="7"/>
      <c r="DM138" s="7"/>
      <c r="DN138" s="4"/>
    </row>
    <row r="139" spans="1:118" ht="22.5" customHeight="1" x14ac:dyDescent="0.3">
      <c r="DA139" s="1"/>
      <c r="DC139" s="1"/>
      <c r="DE139" s="1"/>
      <c r="DF139" s="1"/>
      <c r="DG139" s="1"/>
      <c r="DL139" s="7"/>
      <c r="DM139" s="7"/>
    </row>
    <row r="140" spans="1:118" ht="62.25" customHeight="1" x14ac:dyDescent="0.3">
      <c r="A140" s="357" t="s">
        <v>255</v>
      </c>
      <c r="B140" s="348" t="str">
        <f>B19</f>
        <v>За отчетный период с 01.01.2024 по 18.01.2024</v>
      </c>
      <c r="C140" s="349"/>
      <c r="D140" s="360" t="str">
        <f>D19</f>
        <v>За отчетный период с 19.01.2024 по 25.01.2024</v>
      </c>
      <c r="E140" s="361"/>
      <c r="F140" s="360" t="str">
        <f>F19</f>
        <v>За отчетный период с 26.01.2024 по 31.01.2024</v>
      </c>
      <c r="G140" s="361"/>
      <c r="H140" s="360" t="str">
        <f>H19</f>
        <v>За отчетный период с 01.02.2024 по 08.02.2024</v>
      </c>
      <c r="I140" s="361"/>
      <c r="J140" s="360" t="str">
        <f>J19</f>
        <v>За отчетный период с 09.02.2024 по 15.02.2024</v>
      </c>
      <c r="K140" s="361"/>
      <c r="L140" s="360" t="str">
        <f>L19</f>
        <v>За отчетный период с 16.02.2024 по 21.02.2024</v>
      </c>
      <c r="M140" s="361"/>
      <c r="N140" s="360" t="str">
        <f>N19</f>
        <v>За отчетный период с 22.02.2024 по 29.02.2024</v>
      </c>
      <c r="O140" s="361"/>
      <c r="P140" s="360" t="str">
        <f>P19</f>
        <v>За отчетный период с 01.03.2024 по 06.03.2024</v>
      </c>
      <c r="Q140" s="361"/>
      <c r="R140" s="348" t="str">
        <f>R19</f>
        <v>За отчетный период с 07.03.2024 по 14.03.2024</v>
      </c>
      <c r="S140" s="349"/>
      <c r="T140" s="348" t="str">
        <f>T19</f>
        <v>За отчетный период с 15.03.2024 по 21.03.2024</v>
      </c>
      <c r="U140" s="349"/>
      <c r="V140" s="348" t="str">
        <f>V19</f>
        <v>За отчетный период с 22.03.2024 по 28.03.2024</v>
      </c>
      <c r="W140" s="349"/>
      <c r="X140" s="348" t="str">
        <f>X19</f>
        <v>За отчетный период с 29.03.2024 по 04.04.2024</v>
      </c>
      <c r="Y140" s="349"/>
      <c r="Z140" s="348" t="str">
        <f>Z19</f>
        <v>За отчетный период с 05.04.2024 по 11.04.2024</v>
      </c>
      <c r="AA140" s="349"/>
      <c r="AB140" s="348" t="str">
        <f>AB19</f>
        <v>За отчетный период с 12.04.2024 по 18.04.2024</v>
      </c>
      <c r="AC140" s="349"/>
      <c r="AD140" s="348" t="str">
        <f>AD19</f>
        <v>За отчетный период с 19.04.2024 по 25.04.2024</v>
      </c>
      <c r="AE140" s="349"/>
      <c r="AF140" s="348" t="str">
        <f>AF19</f>
        <v>За отчетный период с 26.04.2024 по 02.05.2024</v>
      </c>
      <c r="AG140" s="349"/>
      <c r="AH140" s="348" t="str">
        <f>AH19</f>
        <v>За отчетный период с 03.05.2024 по 07.05.2024</v>
      </c>
      <c r="AI140" s="349"/>
      <c r="AJ140" s="348" t="str">
        <f>AJ19</f>
        <v>За отчетный период с 08.05.2024 по 16.05.2024</v>
      </c>
      <c r="AK140" s="349"/>
      <c r="AL140" s="348" t="str">
        <f>AL19</f>
        <v>За отчетный период с 17.05.2024 по 23.05.2024</v>
      </c>
      <c r="AM140" s="349"/>
      <c r="AN140" s="348" t="str">
        <f>AN19</f>
        <v>За отчетный период с 24.05.2024 по 30.05.2024</v>
      </c>
      <c r="AO140" s="349"/>
      <c r="AP140" s="348" t="str">
        <f>AP19</f>
        <v>За отчетный период с 31.05.2024 по 06.06.2024</v>
      </c>
      <c r="AQ140" s="349"/>
      <c r="AR140" s="348" t="str">
        <f>AR19</f>
        <v>За отчетный период с 07.06.2024 по 13.06.2024</v>
      </c>
      <c r="AS140" s="349"/>
      <c r="AT140" s="348" t="str">
        <f>AT19</f>
        <v>За отчетный период с 14.06.2024 по 20.06.2024</v>
      </c>
      <c r="AU140" s="349"/>
      <c r="AV140" s="348" t="str">
        <f>AV19</f>
        <v>За отчетный период с 21.06.2024 по 27.06.2024</v>
      </c>
      <c r="AW140" s="349"/>
      <c r="AX140" s="348" t="str">
        <f>AX19</f>
        <v>За отчетный период с 28.06.2024 по 30.06.2024</v>
      </c>
      <c r="AY140" s="349"/>
      <c r="AZ140" s="348" t="str">
        <f>AZ19</f>
        <v>За отчетный период с 01.07.2024 по 04.07.2024</v>
      </c>
      <c r="BA140" s="349"/>
      <c r="BB140" s="348" t="str">
        <f>BB19</f>
        <v>За отчетный период с 05.07.2024 по 11.07.2024</v>
      </c>
      <c r="BC140" s="349"/>
      <c r="BD140" s="348" t="str">
        <f>BD19</f>
        <v>За отчетный период с 12.07.2024 по 18.07.2024</v>
      </c>
      <c r="BE140" s="349"/>
      <c r="BF140" s="348" t="str">
        <f>BF19</f>
        <v>За отчетный период с 19.07.2024 по 25.07.2024</v>
      </c>
      <c r="BG140" s="349"/>
      <c r="BH140" s="348" t="str">
        <f>BH19</f>
        <v>За отчетный период с 26.07.2024 по 31.07.2024</v>
      </c>
      <c r="BI140" s="349"/>
      <c r="BJ140" s="348" t="str">
        <f>BJ19</f>
        <v>За отчетный период с 01.08.2024 по 08.08.2024</v>
      </c>
      <c r="BK140" s="349"/>
      <c r="BL140" s="348" t="str">
        <f>BL19</f>
        <v>За отчетный период с 09.08.2024 по 15.08.2024</v>
      </c>
      <c r="BM140" s="349"/>
      <c r="BN140" s="348" t="str">
        <f>BN19</f>
        <v>За отчетный период с 16.08.2024 по 22.08.2024</v>
      </c>
      <c r="BO140" s="349"/>
      <c r="BP140" s="348" t="str">
        <f>BP19</f>
        <v>За отчетный период с 23.08.2024 по 29.08.2024</v>
      </c>
      <c r="BQ140" s="349"/>
      <c r="BR140" s="348" t="str">
        <f>BR19</f>
        <v>За отчетный период с 29.08.2024 по 30.08.2024</v>
      </c>
      <c r="BS140" s="349"/>
      <c r="BT140" s="348" t="str">
        <f>BT19</f>
        <v>За отчетный период с 31.08.2024 по 05.09.2024</v>
      </c>
      <c r="BU140" s="349"/>
      <c r="BV140" s="355" t="str">
        <f>BV57</f>
        <v>За отчетный период с 06.09.2024 по 12.09.2024</v>
      </c>
      <c r="BW140" s="349"/>
      <c r="BX140" s="348" t="str">
        <f>BX19</f>
        <v>За отчетный период с 13.09.2024 по 19.09.2024</v>
      </c>
      <c r="BY140" s="349"/>
      <c r="BZ140" s="348" t="str">
        <f>BZ19</f>
        <v>За отчетный период с 20.09.2024 по 26.09.2024</v>
      </c>
      <c r="CA140" s="349"/>
      <c r="CB140" s="348" t="str">
        <f>CB19</f>
        <v>За отчетный период с 27.09.2024 по 03.10.2024</v>
      </c>
      <c r="CC140" s="349"/>
      <c r="CD140" s="348" t="str">
        <f>CD19</f>
        <v>За отчетный период с 04.10.2024 по 10.10.2024</v>
      </c>
      <c r="CE140" s="349"/>
      <c r="CF140" s="348" t="str">
        <f>CF19</f>
        <v>За отчетный период с 11.10.2024 по 17.10.2024</v>
      </c>
      <c r="CG140" s="349"/>
      <c r="CH140" s="348" t="str">
        <f>CH19</f>
        <v>За отчетный период с 18.10.2024 по 24.10.2024</v>
      </c>
      <c r="CI140" s="349"/>
      <c r="CJ140" s="348" t="str">
        <f>CJ19</f>
        <v>За отчетный период с 25.10.2024 по 31.10.2024</v>
      </c>
      <c r="CK140" s="349"/>
      <c r="CL140" s="348" t="str">
        <f>CL19</f>
        <v>За отчетный период с 01.11.2024 по 07.11.2024</v>
      </c>
      <c r="CM140" s="349"/>
      <c r="CN140" s="355" t="str">
        <f>CN57</f>
        <v>За отчетный период с 08.11.2024 по 14.11.2024</v>
      </c>
      <c r="CO140" s="349"/>
      <c r="CP140" s="355" t="str">
        <f>CP57</f>
        <v>За отчетный период с 15.11.2024 по 21.11.2024</v>
      </c>
      <c r="CQ140" s="349"/>
      <c r="CR140" s="348" t="str">
        <f>CR19</f>
        <v>За отчетный период с 22.11.2024 по 28.11.2024</v>
      </c>
      <c r="CS140" s="349"/>
      <c r="CT140" s="348" t="str">
        <f>CT19</f>
        <v>За отчетный период с 29.11.2024 по 30.11.2024</v>
      </c>
      <c r="CU140" s="349"/>
      <c r="CV140" s="348" t="str">
        <f>CV19</f>
        <v>За отчетный период с 01.12.2024 по 05.12.2024</v>
      </c>
      <c r="CW140" s="349"/>
      <c r="CX140" s="348" t="str">
        <f>CX19</f>
        <v>За отчетный период с 06.12.2024 по 12.12.2024</v>
      </c>
      <c r="CY140" s="349"/>
      <c r="CZ140" s="348" t="str">
        <f>CZ19</f>
        <v>За отчетный период с 13.12.2024 по 19.12.2024</v>
      </c>
      <c r="DA140" s="349"/>
      <c r="DB140" s="348" t="str">
        <f>DB19</f>
        <v>За отчетный период с 20.12.2024 по 26.12.2024</v>
      </c>
      <c r="DC140" s="349"/>
      <c r="DD140" s="348" t="str">
        <f>DD19</f>
        <v>За отчетный период с 27.12.2024 по 31.12.2024</v>
      </c>
      <c r="DE140" s="349"/>
      <c r="DF140" s="348" t="str">
        <f>DF19</f>
        <v>За отчетный период с 01.12.2024 по 31.12.2024</v>
      </c>
      <c r="DG140" s="349"/>
      <c r="DH140" s="350" t="str">
        <f>DH19</f>
        <v>Выдано в 2024 г.</v>
      </c>
      <c r="DI140" s="351"/>
      <c r="DJ140" s="352" t="s">
        <v>256</v>
      </c>
      <c r="DK140" s="353"/>
    </row>
    <row r="141" spans="1:118" x14ac:dyDescent="0.3">
      <c r="A141" s="358"/>
      <c r="B141" s="54" t="s">
        <v>16</v>
      </c>
      <c r="C141" s="315" t="s">
        <v>17</v>
      </c>
      <c r="D141" s="54" t="s">
        <v>16</v>
      </c>
      <c r="E141" s="315" t="s">
        <v>17</v>
      </c>
      <c r="F141" s="316" t="s">
        <v>16</v>
      </c>
      <c r="G141" s="315" t="s">
        <v>17</v>
      </c>
      <c r="H141" s="316" t="s">
        <v>16</v>
      </c>
      <c r="I141" s="315" t="s">
        <v>17</v>
      </c>
      <c r="J141" s="316" t="s">
        <v>16</v>
      </c>
      <c r="K141" s="315" t="s">
        <v>17</v>
      </c>
      <c r="L141" s="316" t="s">
        <v>16</v>
      </c>
      <c r="M141" s="315" t="s">
        <v>17</v>
      </c>
      <c r="N141" s="316" t="s">
        <v>16</v>
      </c>
      <c r="O141" s="315" t="s">
        <v>17</v>
      </c>
      <c r="P141" s="316" t="s">
        <v>16</v>
      </c>
      <c r="Q141" s="315" t="s">
        <v>17</v>
      </c>
      <c r="R141" s="316" t="s">
        <v>16</v>
      </c>
      <c r="S141" s="315" t="s">
        <v>17</v>
      </c>
      <c r="T141" s="316" t="s">
        <v>16</v>
      </c>
      <c r="U141" s="315" t="s">
        <v>17</v>
      </c>
      <c r="V141" s="316" t="s">
        <v>16</v>
      </c>
      <c r="W141" s="315" t="s">
        <v>17</v>
      </c>
      <c r="X141" s="316" t="s">
        <v>16</v>
      </c>
      <c r="Y141" s="315" t="s">
        <v>17</v>
      </c>
      <c r="Z141" s="316" t="s">
        <v>16</v>
      </c>
      <c r="AA141" s="315" t="s">
        <v>17</v>
      </c>
      <c r="AB141" s="316" t="s">
        <v>16</v>
      </c>
      <c r="AC141" s="315" t="s">
        <v>17</v>
      </c>
      <c r="AD141" s="316" t="s">
        <v>16</v>
      </c>
      <c r="AE141" s="315" t="s">
        <v>17</v>
      </c>
      <c r="AF141" s="316" t="s">
        <v>16</v>
      </c>
      <c r="AG141" s="315" t="s">
        <v>17</v>
      </c>
      <c r="AH141" s="316" t="s">
        <v>16</v>
      </c>
      <c r="AI141" s="315" t="s">
        <v>17</v>
      </c>
      <c r="AJ141" s="316" t="s">
        <v>16</v>
      </c>
      <c r="AK141" s="315" t="s">
        <v>17</v>
      </c>
      <c r="AL141" s="316" t="s">
        <v>16</v>
      </c>
      <c r="AM141" s="315" t="s">
        <v>17</v>
      </c>
      <c r="AN141" s="316" t="s">
        <v>16</v>
      </c>
      <c r="AO141" s="315" t="s">
        <v>17</v>
      </c>
      <c r="AP141" s="316" t="s">
        <v>16</v>
      </c>
      <c r="AQ141" s="315" t="s">
        <v>17</v>
      </c>
      <c r="AR141" s="316" t="s">
        <v>16</v>
      </c>
      <c r="AS141" s="315" t="s">
        <v>17</v>
      </c>
      <c r="AT141" s="316" t="s">
        <v>16</v>
      </c>
      <c r="AU141" s="315" t="s">
        <v>17</v>
      </c>
      <c r="AV141" s="316" t="s">
        <v>16</v>
      </c>
      <c r="AW141" s="315" t="s">
        <v>17</v>
      </c>
      <c r="AX141" s="316" t="s">
        <v>16</v>
      </c>
      <c r="AY141" s="315" t="s">
        <v>17</v>
      </c>
      <c r="AZ141" s="316" t="s">
        <v>16</v>
      </c>
      <c r="BA141" s="315" t="s">
        <v>17</v>
      </c>
      <c r="BB141" s="316" t="s">
        <v>16</v>
      </c>
      <c r="BC141" s="315" t="s">
        <v>17</v>
      </c>
      <c r="BD141" s="316" t="s">
        <v>16</v>
      </c>
      <c r="BE141" s="315" t="s">
        <v>17</v>
      </c>
      <c r="BF141" s="316" t="s">
        <v>16</v>
      </c>
      <c r="BG141" s="315" t="s">
        <v>17</v>
      </c>
      <c r="BH141" s="316" t="s">
        <v>16</v>
      </c>
      <c r="BI141" s="315" t="s">
        <v>17</v>
      </c>
      <c r="BJ141" s="316" t="s">
        <v>16</v>
      </c>
      <c r="BK141" s="315" t="s">
        <v>17</v>
      </c>
      <c r="BL141" s="316" t="s">
        <v>16</v>
      </c>
      <c r="BM141" s="315" t="s">
        <v>17</v>
      </c>
      <c r="BN141" s="316" t="s">
        <v>16</v>
      </c>
      <c r="BO141" s="315" t="s">
        <v>17</v>
      </c>
      <c r="BP141" s="249" t="s">
        <v>16</v>
      </c>
      <c r="BQ141" s="315" t="s">
        <v>17</v>
      </c>
      <c r="BR141" s="316" t="s">
        <v>16</v>
      </c>
      <c r="BS141" s="315" t="s">
        <v>17</v>
      </c>
      <c r="BT141" s="316" t="s">
        <v>16</v>
      </c>
      <c r="BU141" s="315" t="s">
        <v>17</v>
      </c>
      <c r="BV141" s="316" t="s">
        <v>16</v>
      </c>
      <c r="BW141" s="315" t="s">
        <v>17</v>
      </c>
      <c r="BX141" s="316" t="s">
        <v>16</v>
      </c>
      <c r="BY141" s="315" t="s">
        <v>17</v>
      </c>
      <c r="BZ141" s="316" t="s">
        <v>16</v>
      </c>
      <c r="CA141" s="315" t="s">
        <v>17</v>
      </c>
      <c r="CB141" s="316" t="s">
        <v>16</v>
      </c>
      <c r="CC141" s="315" t="s">
        <v>17</v>
      </c>
      <c r="CD141" s="316" t="s">
        <v>16</v>
      </c>
      <c r="CE141" s="315" t="s">
        <v>17</v>
      </c>
      <c r="CF141" s="316" t="s">
        <v>16</v>
      </c>
      <c r="CG141" s="315" t="s">
        <v>17</v>
      </c>
      <c r="CH141" s="316" t="s">
        <v>16</v>
      </c>
      <c r="CI141" s="315" t="s">
        <v>17</v>
      </c>
      <c r="CJ141" s="316" t="s">
        <v>16</v>
      </c>
      <c r="CK141" s="315" t="s">
        <v>17</v>
      </c>
      <c r="CL141" s="316" t="s">
        <v>16</v>
      </c>
      <c r="CM141" s="315" t="s">
        <v>17</v>
      </c>
      <c r="CN141" s="316" t="s">
        <v>16</v>
      </c>
      <c r="CO141" s="315" t="s">
        <v>17</v>
      </c>
      <c r="CP141" s="316" t="s">
        <v>16</v>
      </c>
      <c r="CQ141" s="315" t="s">
        <v>17</v>
      </c>
      <c r="CR141" s="316" t="s">
        <v>16</v>
      </c>
      <c r="CS141" s="315" t="s">
        <v>17</v>
      </c>
      <c r="CT141" s="316" t="s">
        <v>16</v>
      </c>
      <c r="CU141" s="315" t="s">
        <v>17</v>
      </c>
      <c r="CV141" s="316" t="s">
        <v>16</v>
      </c>
      <c r="CW141" s="315" t="s">
        <v>17</v>
      </c>
      <c r="CX141" s="316" t="s">
        <v>16</v>
      </c>
      <c r="CY141" s="315" t="s">
        <v>17</v>
      </c>
      <c r="CZ141" s="316" t="s">
        <v>16</v>
      </c>
      <c r="DA141" s="315" t="s">
        <v>17</v>
      </c>
      <c r="DB141" s="316" t="s">
        <v>16</v>
      </c>
      <c r="DC141" s="315" t="s">
        <v>17</v>
      </c>
      <c r="DD141" s="316" t="s">
        <v>16</v>
      </c>
      <c r="DE141" s="315" t="s">
        <v>17</v>
      </c>
      <c r="DF141" s="315" t="s">
        <v>16</v>
      </c>
      <c r="DG141" s="315" t="s">
        <v>17</v>
      </c>
      <c r="DH141" s="316" t="s">
        <v>16</v>
      </c>
      <c r="DI141" s="315" t="s">
        <v>17</v>
      </c>
      <c r="DJ141" s="248" t="s">
        <v>16</v>
      </c>
      <c r="DK141" s="218" t="s">
        <v>17</v>
      </c>
    </row>
    <row r="142" spans="1:118" x14ac:dyDescent="0.3">
      <c r="A142" s="359"/>
      <c r="B142" s="317"/>
      <c r="C142" s="318"/>
      <c r="D142" s="80"/>
      <c r="E142" s="318"/>
      <c r="F142" s="319"/>
      <c r="G142" s="318"/>
      <c r="H142" s="319"/>
      <c r="I142" s="318"/>
      <c r="J142" s="320">
        <v>1</v>
      </c>
      <c r="K142" s="321">
        <v>300</v>
      </c>
      <c r="L142" s="320"/>
      <c r="M142" s="321"/>
      <c r="N142" s="320"/>
      <c r="O142" s="321"/>
      <c r="P142" s="320"/>
      <c r="Q142" s="321"/>
      <c r="R142" s="320"/>
      <c r="S142" s="321"/>
      <c r="T142" s="213">
        <v>1</v>
      </c>
      <c r="U142" s="218">
        <v>300</v>
      </c>
      <c r="V142" s="246">
        <v>1</v>
      </c>
      <c r="W142" s="218">
        <v>300</v>
      </c>
      <c r="X142" s="322">
        <v>1</v>
      </c>
      <c r="Y142" s="321">
        <v>300</v>
      </c>
      <c r="Z142" s="320"/>
      <c r="AA142" s="321"/>
      <c r="AB142" s="320"/>
      <c r="AC142" s="321"/>
      <c r="AD142" s="248">
        <v>1</v>
      </c>
      <c r="AE142" s="218">
        <v>180</v>
      </c>
      <c r="AF142" s="320"/>
      <c r="AG142" s="321"/>
      <c r="AH142" s="320"/>
      <c r="AI142" s="321"/>
      <c r="AJ142" s="320"/>
      <c r="AK142" s="321"/>
      <c r="AL142" s="320"/>
      <c r="AM142" s="321"/>
      <c r="AN142" s="320"/>
      <c r="AO142" s="321"/>
      <c r="AP142" s="320"/>
      <c r="AQ142" s="321"/>
      <c r="AR142" s="320"/>
      <c r="AS142" s="321"/>
      <c r="AT142" s="320"/>
      <c r="AU142" s="321"/>
      <c r="AV142" s="323"/>
      <c r="AW142" s="321"/>
      <c r="AX142" s="324"/>
      <c r="AY142" s="325"/>
      <c r="AZ142" s="324"/>
      <c r="BA142" s="325"/>
      <c r="BB142" s="324"/>
      <c r="BC142" s="325"/>
      <c r="BD142" s="324"/>
      <c r="BE142" s="325"/>
      <c r="BF142" s="324"/>
      <c r="BG142" s="325"/>
      <c r="BH142" s="324"/>
      <c r="BI142" s="325"/>
      <c r="BJ142" s="324"/>
      <c r="BK142" s="325"/>
      <c r="BL142" s="324"/>
      <c r="BM142" s="325"/>
      <c r="BN142" s="326"/>
      <c r="BO142" s="325"/>
      <c r="BP142" s="327"/>
      <c r="BQ142" s="325"/>
      <c r="BR142" s="327"/>
      <c r="BS142" s="327"/>
      <c r="BT142" s="324"/>
      <c r="BU142" s="328"/>
      <c r="BV142" s="324"/>
      <c r="BW142" s="325"/>
      <c r="BX142" s="329"/>
      <c r="BY142" s="325"/>
      <c r="BZ142" s="324"/>
      <c r="CA142" s="325"/>
      <c r="CB142" s="324"/>
      <c r="CC142" s="325"/>
      <c r="CD142" s="327"/>
      <c r="CE142" s="325"/>
      <c r="CF142" s="324"/>
      <c r="CG142" s="325"/>
      <c r="CH142" s="324"/>
      <c r="CI142" s="325"/>
      <c r="CJ142" s="324"/>
      <c r="CK142" s="325"/>
      <c r="CL142" s="329"/>
      <c r="CM142" s="325"/>
      <c r="CN142" s="220"/>
      <c r="CO142" s="209"/>
      <c r="CP142" s="220"/>
      <c r="CQ142" s="220"/>
      <c r="CR142" s="324"/>
      <c r="CS142" s="325"/>
      <c r="CT142" s="324"/>
      <c r="CU142" s="325"/>
      <c r="CV142" s="324">
        <v>0</v>
      </c>
      <c r="CW142" s="325">
        <v>0</v>
      </c>
      <c r="CX142" s="329">
        <v>0</v>
      </c>
      <c r="CY142" s="325">
        <v>0</v>
      </c>
      <c r="CZ142" s="324">
        <v>0</v>
      </c>
      <c r="DA142" s="325">
        <v>0</v>
      </c>
      <c r="DB142" s="324">
        <v>0</v>
      </c>
      <c r="DC142" s="325">
        <v>0</v>
      </c>
      <c r="DD142" s="324">
        <v>0</v>
      </c>
      <c r="DE142" s="325">
        <v>0</v>
      </c>
      <c r="DF142" s="324">
        <f>CV142+CX142+CZ142+DB142+DD142</f>
        <v>0</v>
      </c>
      <c r="DG142" s="325">
        <f>CW142+CY142+DA142+DC142+DE142</f>
        <v>0</v>
      </c>
      <c r="DH142" s="249">
        <f>B142+CZ142+DB142+D142+F142+H142+J142+L142+N142+P142+R142+T142+V142+X142+Z142+AB142+AD142+AF142+AH142+AJ142+AL142+AN142+AP142+AR142+AT142+AV142+AX142+AZ142+BB142+BD142+BF142+BH142+BJ142+BL142+BN142+BP142+BR142+BT142+BV142+BX142+BZ142+CB142+CD142+CF142+CH142+CJ142+CL142+CP142+CR142+CT142+CV142+CX142+CN142</f>
        <v>5</v>
      </c>
      <c r="DI142" s="222">
        <f>C142+DA142+DC142+E142+G142+I142+K142+M142+O142+Q142+S142+U142+W142+Y142+AA142+AC142+AE142+AG142+AI142+AK142+AM142+AO142+AQ142+AS142+AU142+AW142+AY142+BA142+BC142+BE142+BG142+BI142+BK142+BM142+BO142+BQ142+BS142+BU142+BW142+BY142+CA142+CC142+CE142+CG142+CI142+CK142+CM142+CQ142+CS142+CU142+CW142+CY142+CO142</f>
        <v>1380</v>
      </c>
      <c r="DJ142" s="248">
        <f>DH142+76</f>
        <v>81</v>
      </c>
      <c r="DK142" s="218">
        <f>DI142+15540</f>
        <v>16920</v>
      </c>
    </row>
    <row r="143" spans="1:118" ht="0.75" customHeight="1" x14ac:dyDescent="0.3">
      <c r="A143" s="330" t="s">
        <v>257</v>
      </c>
      <c r="B143" s="330"/>
      <c r="C143" s="331"/>
      <c r="D143" s="332"/>
      <c r="E143" s="331"/>
      <c r="F143" s="333"/>
      <c r="G143" s="331"/>
      <c r="H143" s="333"/>
      <c r="I143" s="331"/>
      <c r="J143" s="333"/>
      <c r="K143" s="331"/>
      <c r="L143" s="333"/>
      <c r="M143" s="331"/>
      <c r="N143" s="333"/>
      <c r="O143" s="331"/>
      <c r="P143" s="333"/>
      <c r="Q143" s="331"/>
      <c r="R143" s="333"/>
      <c r="S143" s="331"/>
      <c r="T143" s="334"/>
      <c r="U143" s="331"/>
      <c r="V143" s="335"/>
      <c r="W143" s="331"/>
      <c r="X143" s="335"/>
      <c r="Y143" s="331"/>
      <c r="Z143" s="333"/>
      <c r="AA143" s="331"/>
      <c r="AB143" s="333"/>
      <c r="AC143" s="331"/>
      <c r="AD143" s="336"/>
      <c r="AE143" s="331"/>
      <c r="AF143" s="333"/>
      <c r="AG143" s="331"/>
      <c r="AH143" s="333"/>
      <c r="AI143" s="331"/>
      <c r="AJ143" s="333"/>
      <c r="AK143" s="331"/>
      <c r="AL143" s="333"/>
      <c r="AM143" s="331"/>
      <c r="AN143" s="333"/>
      <c r="AO143" s="331"/>
      <c r="AP143" s="333"/>
      <c r="AQ143" s="331"/>
      <c r="AR143" s="333"/>
      <c r="AS143" s="331"/>
      <c r="AT143" s="333"/>
      <c r="AU143" s="331"/>
      <c r="AV143" s="334"/>
      <c r="AW143" s="331"/>
      <c r="AX143" s="337"/>
      <c r="AY143" s="338"/>
      <c r="AZ143" s="337"/>
      <c r="BA143" s="338"/>
      <c r="BB143" s="337"/>
      <c r="BC143" s="338"/>
      <c r="BD143" s="337"/>
      <c r="BE143" s="338"/>
      <c r="BF143" s="337"/>
      <c r="BG143" s="338"/>
      <c r="BH143" s="337"/>
      <c r="BI143" s="338"/>
      <c r="BJ143" s="337"/>
      <c r="BK143" s="338"/>
      <c r="BL143" s="337"/>
      <c r="BM143" s="338"/>
      <c r="BN143" s="339"/>
      <c r="BO143" s="338"/>
      <c r="BP143" s="340"/>
      <c r="BQ143" s="338"/>
      <c r="BR143" s="340"/>
      <c r="BS143" s="340"/>
      <c r="BT143" s="337"/>
      <c r="BU143" s="341"/>
      <c r="BV143" s="337"/>
      <c r="BW143" s="338"/>
      <c r="BX143" s="342"/>
      <c r="BY143" s="338"/>
      <c r="BZ143" s="337"/>
      <c r="CA143" s="338"/>
      <c r="CB143" s="337"/>
      <c r="CC143" s="338"/>
      <c r="CD143" s="340"/>
      <c r="CE143" s="338"/>
      <c r="CF143" s="337"/>
      <c r="CG143" s="338"/>
      <c r="CH143" s="337"/>
      <c r="CI143" s="338"/>
      <c r="CJ143" s="337"/>
      <c r="CK143" s="338"/>
      <c r="CL143" s="342"/>
      <c r="CM143" s="338"/>
      <c r="CN143" s="338"/>
      <c r="CO143" s="338"/>
      <c r="CP143" s="342"/>
      <c r="CQ143" s="338"/>
      <c r="CR143" s="337"/>
      <c r="CS143" s="338"/>
      <c r="CT143" s="337"/>
      <c r="CU143" s="338"/>
      <c r="CV143" s="337"/>
      <c r="CW143" s="338"/>
      <c r="CX143" s="342"/>
      <c r="CY143" s="338"/>
      <c r="CZ143" s="340"/>
      <c r="DA143" s="340"/>
      <c r="DB143" s="340"/>
      <c r="DC143" s="340"/>
      <c r="DD143" s="340"/>
      <c r="DE143" s="340"/>
      <c r="DF143" s="340"/>
      <c r="DG143" s="340"/>
      <c r="DH143" s="343"/>
      <c r="DI143" s="341"/>
      <c r="DJ143" s="344"/>
      <c r="DK143" s="345"/>
    </row>
    <row r="145" spans="1:115" x14ac:dyDescent="0.3">
      <c r="A145" s="354" t="s">
        <v>258</v>
      </c>
      <c r="B145" s="354"/>
      <c r="C145" s="354"/>
      <c r="D145" s="354"/>
      <c r="E145" s="354"/>
      <c r="F145" s="354"/>
      <c r="G145" s="354"/>
      <c r="H145" s="354"/>
      <c r="I145" s="354"/>
      <c r="J145" s="354"/>
      <c r="K145" s="354"/>
      <c r="L145" s="354"/>
      <c r="M145" s="354"/>
      <c r="N145" s="354"/>
      <c r="O145" s="354"/>
      <c r="P145" s="354"/>
      <c r="Q145" s="354"/>
      <c r="R145" s="354"/>
      <c r="S145" s="354"/>
      <c r="T145" s="354"/>
      <c r="U145" s="354"/>
      <c r="V145" s="354"/>
      <c r="W145" s="354"/>
      <c r="X145" s="354"/>
      <c r="Y145" s="354"/>
      <c r="Z145" s="354"/>
      <c r="AA145" s="354"/>
      <c r="AB145" s="354"/>
      <c r="AC145" s="354"/>
      <c r="AD145" s="354"/>
      <c r="AE145" s="354"/>
      <c r="AF145" s="354"/>
      <c r="AG145" s="354"/>
      <c r="AH145" s="354"/>
      <c r="AI145" s="354"/>
      <c r="AJ145" s="354"/>
      <c r="AK145" s="354"/>
      <c r="AL145" s="354"/>
      <c r="AM145" s="354"/>
      <c r="AN145" s="354"/>
      <c r="AO145" s="354"/>
      <c r="AP145" s="354"/>
      <c r="AQ145" s="354"/>
      <c r="AR145" s="354"/>
      <c r="AS145" s="354"/>
      <c r="AT145" s="354"/>
      <c r="AU145" s="354"/>
      <c r="AV145" s="354"/>
      <c r="AW145" s="354"/>
      <c r="AX145" s="354"/>
      <c r="AY145" s="354"/>
      <c r="AZ145" s="354"/>
      <c r="BA145" s="354"/>
      <c r="BB145" s="354"/>
      <c r="BC145" s="354"/>
      <c r="BD145" s="354"/>
      <c r="BE145" s="354"/>
      <c r="BF145" s="354"/>
      <c r="BG145" s="354"/>
      <c r="BH145" s="354"/>
      <c r="BI145" s="354"/>
      <c r="BJ145" s="354"/>
      <c r="BK145" s="354"/>
      <c r="BL145" s="354"/>
      <c r="BM145" s="354"/>
      <c r="BN145" s="354"/>
      <c r="BO145" s="354"/>
      <c r="BP145" s="354"/>
      <c r="BQ145" s="354"/>
      <c r="BR145" s="354"/>
      <c r="BS145" s="354"/>
      <c r="BT145" s="354"/>
      <c r="BU145" s="354"/>
      <c r="BV145" s="354"/>
      <c r="BW145" s="354"/>
      <c r="BX145" s="354"/>
      <c r="BY145" s="354"/>
      <c r="BZ145" s="354"/>
      <c r="CA145" s="354"/>
      <c r="CB145" s="354"/>
      <c r="CC145" s="354"/>
      <c r="CD145" s="354"/>
      <c r="CE145" s="354"/>
      <c r="CF145" s="354"/>
      <c r="CG145" s="354"/>
      <c r="CH145" s="354"/>
      <c r="CI145" s="354"/>
      <c r="CJ145" s="354"/>
      <c r="CK145" s="354"/>
      <c r="CL145" s="354"/>
      <c r="CM145" s="354"/>
      <c r="CN145" s="354"/>
      <c r="CO145" s="354"/>
      <c r="CP145" s="354"/>
      <c r="CQ145" s="354"/>
      <c r="CR145" s="354"/>
      <c r="CS145" s="354"/>
      <c r="CT145" s="354"/>
      <c r="CU145" s="354"/>
      <c r="CV145" s="354"/>
      <c r="CW145" s="354"/>
      <c r="CX145" s="354"/>
      <c r="CY145" s="354"/>
      <c r="CZ145" s="354"/>
      <c r="DA145" s="354"/>
      <c r="DB145" s="354"/>
      <c r="DC145" s="354"/>
      <c r="DD145" s="354"/>
      <c r="DE145" s="354"/>
      <c r="DF145" s="354"/>
      <c r="DG145" s="354"/>
      <c r="DH145" s="354"/>
      <c r="DI145" s="354"/>
      <c r="DJ145" s="354"/>
      <c r="DK145" s="354"/>
    </row>
    <row r="146" spans="1:115" x14ac:dyDescent="0.3">
      <c r="A146" s="346"/>
      <c r="CU146" s="2" t="s">
        <v>259</v>
      </c>
    </row>
    <row r="149" spans="1:115" ht="15.75" customHeight="1" x14ac:dyDescent="0.3">
      <c r="B149" s="2"/>
      <c r="BP149" s="347"/>
      <c r="BR149" s="2"/>
      <c r="BS149" s="2"/>
      <c r="CD149" s="2"/>
      <c r="CZ149" s="2"/>
      <c r="DB149" s="2"/>
      <c r="DD149" s="2"/>
    </row>
  </sheetData>
  <mergeCells count="573">
    <mergeCell ref="A1:DK1"/>
    <mergeCell ref="A2:DK2"/>
    <mergeCell ref="B7:C7"/>
    <mergeCell ref="D7:E7"/>
    <mergeCell ref="F7:G7"/>
    <mergeCell ref="H7:I7"/>
    <mergeCell ref="J7:K7"/>
    <mergeCell ref="L7:M7"/>
    <mergeCell ref="N7:O7"/>
    <mergeCell ref="P7:Q7"/>
    <mergeCell ref="R7:S7"/>
    <mergeCell ref="T7:U7"/>
    <mergeCell ref="V7:W7"/>
    <mergeCell ref="X7:Y7"/>
    <mergeCell ref="Z7:AA7"/>
    <mergeCell ref="AB7:AC7"/>
    <mergeCell ref="AD7:AE7"/>
    <mergeCell ref="AF7:AG7"/>
    <mergeCell ref="AH7:AI7"/>
    <mergeCell ref="AJ7:AK7"/>
    <mergeCell ref="AL7:AM7"/>
    <mergeCell ref="AN7:AO7"/>
    <mergeCell ref="AP7:AQ7"/>
    <mergeCell ref="AR7:AS7"/>
    <mergeCell ref="AT7:AU7"/>
    <mergeCell ref="AV7:AW7"/>
    <mergeCell ref="AX7:AY7"/>
    <mergeCell ref="AZ7:BA7"/>
    <mergeCell ref="BB7:BC7"/>
    <mergeCell ref="BD7:BE7"/>
    <mergeCell ref="BF7:BG7"/>
    <mergeCell ref="BH7:BI7"/>
    <mergeCell ref="BJ7:BK7"/>
    <mergeCell ref="BL7:BM7"/>
    <mergeCell ref="BN7:BO7"/>
    <mergeCell ref="BP7:BQ7"/>
    <mergeCell ref="BR7:BS7"/>
    <mergeCell ref="BT7:BU7"/>
    <mergeCell ref="BV7:BW7"/>
    <mergeCell ref="BX7:BY7"/>
    <mergeCell ref="BZ7:CA7"/>
    <mergeCell ref="CB7:CC7"/>
    <mergeCell ref="CD7:CE7"/>
    <mergeCell ref="CF7:CG7"/>
    <mergeCell ref="CH7:CI7"/>
    <mergeCell ref="CJ7:CK7"/>
    <mergeCell ref="CL7:CM7"/>
    <mergeCell ref="CN7:CO7"/>
    <mergeCell ref="CP7:CQ7"/>
    <mergeCell ref="CR7:CS7"/>
    <mergeCell ref="CT7:CU7"/>
    <mergeCell ref="CV7:CW7"/>
    <mergeCell ref="CX7:CY7"/>
    <mergeCell ref="CZ7:DA7"/>
    <mergeCell ref="DB7:DC7"/>
    <mergeCell ref="DD7:DE7"/>
    <mergeCell ref="DF7:DG7"/>
    <mergeCell ref="DH7:DI7"/>
    <mergeCell ref="DJ7:DK7"/>
    <mergeCell ref="B9:C9"/>
    <mergeCell ref="D9:E9"/>
    <mergeCell ref="F9:G9"/>
    <mergeCell ref="H9:I9"/>
    <mergeCell ref="J9:K9"/>
    <mergeCell ref="L9:M9"/>
    <mergeCell ref="N9:O9"/>
    <mergeCell ref="P9:Q9"/>
    <mergeCell ref="R9:S9"/>
    <mergeCell ref="T9:U9"/>
    <mergeCell ref="V9:W9"/>
    <mergeCell ref="X9:Y9"/>
    <mergeCell ref="Z9:AA9"/>
    <mergeCell ref="AB9:AC9"/>
    <mergeCell ref="AD9:AE9"/>
    <mergeCell ref="AF9:AG9"/>
    <mergeCell ref="AH9:AI9"/>
    <mergeCell ref="AJ9:AK9"/>
    <mergeCell ref="AL9:AM9"/>
    <mergeCell ref="AN9:AO9"/>
    <mergeCell ref="AP9:AQ9"/>
    <mergeCell ref="AR9:AS9"/>
    <mergeCell ref="AT9:AU9"/>
    <mergeCell ref="AV9:AW9"/>
    <mergeCell ref="AX9:AY9"/>
    <mergeCell ref="AZ9:BA9"/>
    <mergeCell ref="BB9:BC9"/>
    <mergeCell ref="BD9:BE9"/>
    <mergeCell ref="BF9:BG9"/>
    <mergeCell ref="BH9:BI9"/>
    <mergeCell ref="BJ9:BK9"/>
    <mergeCell ref="BL9:BM9"/>
    <mergeCell ref="BN9:BO9"/>
    <mergeCell ref="BP9:BQ9"/>
    <mergeCell ref="BR9:BS9"/>
    <mergeCell ref="BT9:BU9"/>
    <mergeCell ref="BV9:BW9"/>
    <mergeCell ref="BX9:BY9"/>
    <mergeCell ref="BZ9:CA9"/>
    <mergeCell ref="CB9:CC9"/>
    <mergeCell ref="CD9:CE9"/>
    <mergeCell ref="CF9:CG9"/>
    <mergeCell ref="CH9:CI9"/>
    <mergeCell ref="CJ9:CK9"/>
    <mergeCell ref="CL9:CM9"/>
    <mergeCell ref="CN9:CO9"/>
    <mergeCell ref="CP9:CQ9"/>
    <mergeCell ref="CR9:CS9"/>
    <mergeCell ref="CT9:CU9"/>
    <mergeCell ref="CV9:CW9"/>
    <mergeCell ref="CX9:CY9"/>
    <mergeCell ref="CZ9:DA9"/>
    <mergeCell ref="DB9:DC9"/>
    <mergeCell ref="DD9:DE9"/>
    <mergeCell ref="DF9:DG9"/>
    <mergeCell ref="AN10:AO10"/>
    <mergeCell ref="B11:C11"/>
    <mergeCell ref="D11:E11"/>
    <mergeCell ref="F11:G11"/>
    <mergeCell ref="H11:I11"/>
    <mergeCell ref="J11:K11"/>
    <mergeCell ref="L11:M11"/>
    <mergeCell ref="N11:O11"/>
    <mergeCell ref="P11:Q11"/>
    <mergeCell ref="R11:S11"/>
    <mergeCell ref="T11:U11"/>
    <mergeCell ref="V11:W11"/>
    <mergeCell ref="X11:Y11"/>
    <mergeCell ref="Z11:AA11"/>
    <mergeCell ref="AB11:AC11"/>
    <mergeCell ref="AD11:AE11"/>
    <mergeCell ref="AF11:AG11"/>
    <mergeCell ref="AH11:AI11"/>
    <mergeCell ref="AJ11:AK11"/>
    <mergeCell ref="AL11:AM11"/>
    <mergeCell ref="AN11:AO11"/>
    <mergeCell ref="AP11:AQ11"/>
    <mergeCell ref="AR11:AS11"/>
    <mergeCell ref="AT11:AU11"/>
    <mergeCell ref="AV11:AW11"/>
    <mergeCell ref="AX11:AY11"/>
    <mergeCell ref="AZ11:BA11"/>
    <mergeCell ref="BB11:BC11"/>
    <mergeCell ref="BD11:BE11"/>
    <mergeCell ref="BF11:BG11"/>
    <mergeCell ref="BH11:BI11"/>
    <mergeCell ref="BJ11:BK11"/>
    <mergeCell ref="BL11:BM11"/>
    <mergeCell ref="BN11:BO11"/>
    <mergeCell ref="BP11:BQ11"/>
    <mergeCell ref="BR11:BS11"/>
    <mergeCell ref="BT11:BU11"/>
    <mergeCell ref="BV11:BW11"/>
    <mergeCell ref="BX11:BY11"/>
    <mergeCell ref="BZ11:CA11"/>
    <mergeCell ref="CB11:CC11"/>
    <mergeCell ref="CD11:CE11"/>
    <mergeCell ref="CF11:CG11"/>
    <mergeCell ref="CH11:CI11"/>
    <mergeCell ref="CJ11:CK11"/>
    <mergeCell ref="CL11:CM11"/>
    <mergeCell ref="CN11:CO11"/>
    <mergeCell ref="CP11:CQ11"/>
    <mergeCell ref="CR11:CS11"/>
    <mergeCell ref="CT11:CU11"/>
    <mergeCell ref="CV11:CW11"/>
    <mergeCell ref="CX11:CY11"/>
    <mergeCell ref="CZ11:DA11"/>
    <mergeCell ref="DB11:DC11"/>
    <mergeCell ref="DD11:DE11"/>
    <mergeCell ref="DF11:DG11"/>
    <mergeCell ref="DH11:DI11"/>
    <mergeCell ref="DJ11:DK11"/>
    <mergeCell ref="B12:C12"/>
    <mergeCell ref="D12:E12"/>
    <mergeCell ref="F12:G12"/>
    <mergeCell ref="H12:I12"/>
    <mergeCell ref="J12:K12"/>
    <mergeCell ref="L12:M12"/>
    <mergeCell ref="N12:O12"/>
    <mergeCell ref="P12:Q12"/>
    <mergeCell ref="R12:S12"/>
    <mergeCell ref="T12:U12"/>
    <mergeCell ref="V12:W12"/>
    <mergeCell ref="X12:Y12"/>
    <mergeCell ref="Z12:AA12"/>
    <mergeCell ref="AB12:AC12"/>
    <mergeCell ref="AD12:AE12"/>
    <mergeCell ref="AF12:AG12"/>
    <mergeCell ref="AH12:AI12"/>
    <mergeCell ref="AJ12:AK12"/>
    <mergeCell ref="AL12:AM12"/>
    <mergeCell ref="AN12:AO12"/>
    <mergeCell ref="AP12:AQ12"/>
    <mergeCell ref="AR12:AS12"/>
    <mergeCell ref="AT12:AU12"/>
    <mergeCell ref="AV12:AW12"/>
    <mergeCell ref="AX12:AY12"/>
    <mergeCell ref="AZ12:BA12"/>
    <mergeCell ref="BB12:BC12"/>
    <mergeCell ref="BD12:BE12"/>
    <mergeCell ref="BF12:BG12"/>
    <mergeCell ref="BH12:BI12"/>
    <mergeCell ref="BJ12:BK12"/>
    <mergeCell ref="BL12:BM12"/>
    <mergeCell ref="BN12:BO12"/>
    <mergeCell ref="BP12:BQ12"/>
    <mergeCell ref="BR12:BS12"/>
    <mergeCell ref="BT12:BU12"/>
    <mergeCell ref="BV12:BW12"/>
    <mergeCell ref="BX12:BY12"/>
    <mergeCell ref="BZ12:CA12"/>
    <mergeCell ref="CB12:CC12"/>
    <mergeCell ref="CD12:CE12"/>
    <mergeCell ref="CF12:CG12"/>
    <mergeCell ref="CH12:CI12"/>
    <mergeCell ref="CJ12:CK12"/>
    <mergeCell ref="CL12:CM12"/>
    <mergeCell ref="CN12:CO12"/>
    <mergeCell ref="CP12:CQ12"/>
    <mergeCell ref="CR12:CS12"/>
    <mergeCell ref="CT12:CU12"/>
    <mergeCell ref="CV12:CW12"/>
    <mergeCell ref="CX12:CY12"/>
    <mergeCell ref="CZ12:DA12"/>
    <mergeCell ref="DB12:DC12"/>
    <mergeCell ref="DD12:DE12"/>
    <mergeCell ref="DF12:DG12"/>
    <mergeCell ref="DH12:DI12"/>
    <mergeCell ref="DJ12:DK12"/>
    <mergeCell ref="B14:C14"/>
    <mergeCell ref="D14:E14"/>
    <mergeCell ref="F14:G14"/>
    <mergeCell ref="H14:I14"/>
    <mergeCell ref="J14:K14"/>
    <mergeCell ref="L14:M14"/>
    <mergeCell ref="N14:O14"/>
    <mergeCell ref="P14:Q14"/>
    <mergeCell ref="R14:S14"/>
    <mergeCell ref="T14:U14"/>
    <mergeCell ref="V14:W14"/>
    <mergeCell ref="X14:Y14"/>
    <mergeCell ref="Z14:AA14"/>
    <mergeCell ref="AB14:AC14"/>
    <mergeCell ref="AD14:AE14"/>
    <mergeCell ref="AF14:AG14"/>
    <mergeCell ref="AH14:AI14"/>
    <mergeCell ref="AJ14:AK14"/>
    <mergeCell ref="AL14:AM14"/>
    <mergeCell ref="AN14:AO14"/>
    <mergeCell ref="AP14:AQ14"/>
    <mergeCell ref="AR14:AS14"/>
    <mergeCell ref="AT14:AU14"/>
    <mergeCell ref="AV14:AW14"/>
    <mergeCell ref="AX14:AY14"/>
    <mergeCell ref="AZ14:BA14"/>
    <mergeCell ref="BB14:BC14"/>
    <mergeCell ref="BD14:BE14"/>
    <mergeCell ref="BF14:BG14"/>
    <mergeCell ref="BH14:BI14"/>
    <mergeCell ref="BJ14:BK14"/>
    <mergeCell ref="BL14:BM14"/>
    <mergeCell ref="BN14:BO14"/>
    <mergeCell ref="BP14:BQ14"/>
    <mergeCell ref="BR14:BS14"/>
    <mergeCell ref="BT14:BU14"/>
    <mergeCell ref="BV14:BW14"/>
    <mergeCell ref="BX14:BY14"/>
    <mergeCell ref="BZ14:CA14"/>
    <mergeCell ref="CB14:CC14"/>
    <mergeCell ref="CD14:CE14"/>
    <mergeCell ref="CF14:CG14"/>
    <mergeCell ref="CH14:CI14"/>
    <mergeCell ref="CJ14:CK14"/>
    <mergeCell ref="CL14:CM14"/>
    <mergeCell ref="CN14:CO14"/>
    <mergeCell ref="CP14:CQ14"/>
    <mergeCell ref="CR14:CS14"/>
    <mergeCell ref="CT14:CU14"/>
    <mergeCell ref="CV14:CW14"/>
    <mergeCell ref="CX14:CY14"/>
    <mergeCell ref="CZ14:DA14"/>
    <mergeCell ref="DB14:DC14"/>
    <mergeCell ref="DD14:DE14"/>
    <mergeCell ref="DF14:DG14"/>
    <mergeCell ref="B15:C15"/>
    <mergeCell ref="D15:E15"/>
    <mergeCell ref="F15:G15"/>
    <mergeCell ref="H15:I15"/>
    <mergeCell ref="J15:K15"/>
    <mergeCell ref="L15:M15"/>
    <mergeCell ref="N15:O15"/>
    <mergeCell ref="P15:Q15"/>
    <mergeCell ref="R15:S15"/>
    <mergeCell ref="T15:U15"/>
    <mergeCell ref="V15:W15"/>
    <mergeCell ref="X15:Y15"/>
    <mergeCell ref="Z15:AA15"/>
    <mergeCell ref="AB15:AC15"/>
    <mergeCell ref="AD15:AE15"/>
    <mergeCell ref="AF15:AG15"/>
    <mergeCell ref="AH15:AI15"/>
    <mergeCell ref="AJ15:AK15"/>
    <mergeCell ref="AL15:AM15"/>
    <mergeCell ref="AN15:AO15"/>
    <mergeCell ref="AP15:AQ15"/>
    <mergeCell ref="AR15:AS15"/>
    <mergeCell ref="AT15:AU15"/>
    <mergeCell ref="AV15:AW15"/>
    <mergeCell ref="AX15:AY15"/>
    <mergeCell ref="AZ15:BA15"/>
    <mergeCell ref="BB15:BC15"/>
    <mergeCell ref="BD15:BE15"/>
    <mergeCell ref="BF15:BG15"/>
    <mergeCell ref="BH15:BI15"/>
    <mergeCell ref="BJ15:BK15"/>
    <mergeCell ref="BL15:BM15"/>
    <mergeCell ref="BN15:BO15"/>
    <mergeCell ref="BP15:BQ15"/>
    <mergeCell ref="BR15:BS15"/>
    <mergeCell ref="BT15:BU15"/>
    <mergeCell ref="BV15:BW15"/>
    <mergeCell ref="BX15:BY15"/>
    <mergeCell ref="BZ15:CA15"/>
    <mergeCell ref="CB15:CC15"/>
    <mergeCell ref="CD15:CE15"/>
    <mergeCell ref="CF15:CG15"/>
    <mergeCell ref="CH15:CI15"/>
    <mergeCell ref="CJ15:CK15"/>
    <mergeCell ref="CL15:CM15"/>
    <mergeCell ref="CN15:CO15"/>
    <mergeCell ref="CP15:CQ15"/>
    <mergeCell ref="CR15:CS15"/>
    <mergeCell ref="CT15:CU15"/>
    <mergeCell ref="CV15:CW15"/>
    <mergeCell ref="CX15:CY15"/>
    <mergeCell ref="CZ15:DA15"/>
    <mergeCell ref="DB15:DC15"/>
    <mergeCell ref="DD15:DE15"/>
    <mergeCell ref="DF15:DG15"/>
    <mergeCell ref="A16:AA16"/>
    <mergeCell ref="B18:C18"/>
    <mergeCell ref="D18:E18"/>
    <mergeCell ref="F18:G18"/>
    <mergeCell ref="H18:I18"/>
    <mergeCell ref="J18:K18"/>
    <mergeCell ref="L18:M18"/>
    <mergeCell ref="N18:O18"/>
    <mergeCell ref="P18:Q18"/>
    <mergeCell ref="R18:S18"/>
    <mergeCell ref="T18:U18"/>
    <mergeCell ref="V18:W18"/>
    <mergeCell ref="X18:Y18"/>
    <mergeCell ref="Z18:AA18"/>
    <mergeCell ref="AB18:AC18"/>
    <mergeCell ref="AD18:AE18"/>
    <mergeCell ref="AF18:AG18"/>
    <mergeCell ref="AH18:AI18"/>
    <mergeCell ref="AJ18:AK18"/>
    <mergeCell ref="AL18:AM18"/>
    <mergeCell ref="AN18:AO18"/>
    <mergeCell ref="AP18:AQ18"/>
    <mergeCell ref="AR18:AS18"/>
    <mergeCell ref="AT18:AU18"/>
    <mergeCell ref="AV18:AW18"/>
    <mergeCell ref="AX18:AY18"/>
    <mergeCell ref="AZ18:BA18"/>
    <mergeCell ref="BB18:BC18"/>
    <mergeCell ref="BD18:BE18"/>
    <mergeCell ref="BF18:BG18"/>
    <mergeCell ref="BH18:BI18"/>
    <mergeCell ref="BJ18:BK18"/>
    <mergeCell ref="BL18:BM18"/>
    <mergeCell ref="BN18:BO18"/>
    <mergeCell ref="BP18:BQ18"/>
    <mergeCell ref="BR18:BS18"/>
    <mergeCell ref="BT18:BU18"/>
    <mergeCell ref="BV18:BW18"/>
    <mergeCell ref="BX18:BY18"/>
    <mergeCell ref="BZ18:CA18"/>
    <mergeCell ref="CB18:CC18"/>
    <mergeCell ref="CD18:CE18"/>
    <mergeCell ref="CF18:CG18"/>
    <mergeCell ref="CH18:CI18"/>
    <mergeCell ref="CJ18:CK18"/>
    <mergeCell ref="CL18:CM18"/>
    <mergeCell ref="CN18:CO18"/>
    <mergeCell ref="CP18:CQ18"/>
    <mergeCell ref="CR18:CS18"/>
    <mergeCell ref="CT18:CU18"/>
    <mergeCell ref="CV18:CW18"/>
    <mergeCell ref="CX18:CY18"/>
    <mergeCell ref="CZ18:DA18"/>
    <mergeCell ref="DB18:DC18"/>
    <mergeCell ref="DD18:DE18"/>
    <mergeCell ref="DF18:DG18"/>
    <mergeCell ref="DH18:DI18"/>
    <mergeCell ref="DJ18:DK18"/>
    <mergeCell ref="A19:A20"/>
    <mergeCell ref="B19:C19"/>
    <mergeCell ref="D19:E19"/>
    <mergeCell ref="F19:G19"/>
    <mergeCell ref="H19:I19"/>
    <mergeCell ref="J19:K19"/>
    <mergeCell ref="L19:M19"/>
    <mergeCell ref="N19:O19"/>
    <mergeCell ref="P19:Q19"/>
    <mergeCell ref="R19:S19"/>
    <mergeCell ref="T19:U19"/>
    <mergeCell ref="V19:W19"/>
    <mergeCell ref="X19:Y19"/>
    <mergeCell ref="Z19:AA19"/>
    <mergeCell ref="AB19:AC19"/>
    <mergeCell ref="AD19:AE19"/>
    <mergeCell ref="AF19:AG19"/>
    <mergeCell ref="AH19:AI19"/>
    <mergeCell ref="AJ19:AK19"/>
    <mergeCell ref="AL19:AM19"/>
    <mergeCell ref="AN19:AO19"/>
    <mergeCell ref="AP19:AQ19"/>
    <mergeCell ref="AR19:AS19"/>
    <mergeCell ref="AT19:AU19"/>
    <mergeCell ref="AV19:AW19"/>
    <mergeCell ref="AX19:AY19"/>
    <mergeCell ref="AZ19:BA19"/>
    <mergeCell ref="BB19:BC19"/>
    <mergeCell ref="BD19:BE19"/>
    <mergeCell ref="BF19:BG19"/>
    <mergeCell ref="BH19:BI19"/>
    <mergeCell ref="BJ19:BK19"/>
    <mergeCell ref="BL19:BM19"/>
    <mergeCell ref="BN19:BO19"/>
    <mergeCell ref="BP19:BQ19"/>
    <mergeCell ref="BR19:BS19"/>
    <mergeCell ref="BT19:BU19"/>
    <mergeCell ref="BV19:BW19"/>
    <mergeCell ref="BX19:BY19"/>
    <mergeCell ref="BZ19:CA19"/>
    <mergeCell ref="CB19:CC19"/>
    <mergeCell ref="CD19:CE19"/>
    <mergeCell ref="CF19:CG19"/>
    <mergeCell ref="CH19:CI19"/>
    <mergeCell ref="CJ19:CK19"/>
    <mergeCell ref="CL19:CM19"/>
    <mergeCell ref="CN19:CO19"/>
    <mergeCell ref="CP19:CQ19"/>
    <mergeCell ref="CR19:CS19"/>
    <mergeCell ref="CT19:CU19"/>
    <mergeCell ref="CV19:CW19"/>
    <mergeCell ref="CX19:CY19"/>
    <mergeCell ref="CZ19:DA19"/>
    <mergeCell ref="DB19:DC19"/>
    <mergeCell ref="DD19:DE19"/>
    <mergeCell ref="DF19:DG19"/>
    <mergeCell ref="DH19:DI19"/>
    <mergeCell ref="DJ19:DK19"/>
    <mergeCell ref="A57:A58"/>
    <mergeCell ref="B57:C57"/>
    <mergeCell ref="D57:E57"/>
    <mergeCell ref="F57:G57"/>
    <mergeCell ref="H57:I57"/>
    <mergeCell ref="J57:K57"/>
    <mergeCell ref="L57:M57"/>
    <mergeCell ref="N57:O57"/>
    <mergeCell ref="P57:Q57"/>
    <mergeCell ref="R57:S57"/>
    <mergeCell ref="T57:U57"/>
    <mergeCell ref="V57:W57"/>
    <mergeCell ref="X57:Y57"/>
    <mergeCell ref="Z57:AA57"/>
    <mergeCell ref="AB57:AC57"/>
    <mergeCell ref="AD57:AE57"/>
    <mergeCell ref="AF57:AG57"/>
    <mergeCell ref="AH57:AI57"/>
    <mergeCell ref="AJ57:AK57"/>
    <mergeCell ref="AL57:AM57"/>
    <mergeCell ref="AN57:AO57"/>
    <mergeCell ref="AP57:AQ57"/>
    <mergeCell ref="BV57:BW57"/>
    <mergeCell ref="BX57:BY57"/>
    <mergeCell ref="BZ57:CA57"/>
    <mergeCell ref="AR57:AS57"/>
    <mergeCell ref="AT57:AU57"/>
    <mergeCell ref="AV57:AW57"/>
    <mergeCell ref="AX57:AY57"/>
    <mergeCell ref="AZ57:BA57"/>
    <mergeCell ref="BB57:BC57"/>
    <mergeCell ref="BD57:BE57"/>
    <mergeCell ref="BF57:BG57"/>
    <mergeCell ref="BH57:BI57"/>
    <mergeCell ref="CT57:CU57"/>
    <mergeCell ref="CV57:CW57"/>
    <mergeCell ref="CX57:CY57"/>
    <mergeCell ref="CZ57:DA57"/>
    <mergeCell ref="DB57:DC57"/>
    <mergeCell ref="DD57:DE57"/>
    <mergeCell ref="DH57:DI57"/>
    <mergeCell ref="DJ57:DK57"/>
    <mergeCell ref="A66:DK66"/>
    <mergeCell ref="CB57:CC57"/>
    <mergeCell ref="CD57:CE57"/>
    <mergeCell ref="CF57:CG57"/>
    <mergeCell ref="CH57:CI57"/>
    <mergeCell ref="CJ57:CK57"/>
    <mergeCell ref="CL57:CM57"/>
    <mergeCell ref="CN57:CO57"/>
    <mergeCell ref="CP57:CQ57"/>
    <mergeCell ref="CR57:CS57"/>
    <mergeCell ref="BJ57:BK57"/>
    <mergeCell ref="BL57:BM57"/>
    <mergeCell ref="BN57:BO57"/>
    <mergeCell ref="BP57:BQ57"/>
    <mergeCell ref="BR57:BS57"/>
    <mergeCell ref="BT57:BU57"/>
    <mergeCell ref="A67:DK67"/>
    <mergeCell ref="A140:A142"/>
    <mergeCell ref="B140:C140"/>
    <mergeCell ref="D140:E140"/>
    <mergeCell ref="F140:G140"/>
    <mergeCell ref="H140:I140"/>
    <mergeCell ref="J140:K140"/>
    <mergeCell ref="L140:M140"/>
    <mergeCell ref="N140:O140"/>
    <mergeCell ref="P140:Q140"/>
    <mergeCell ref="R140:S140"/>
    <mergeCell ref="T140:U140"/>
    <mergeCell ref="V140:W140"/>
    <mergeCell ref="X140:Y140"/>
    <mergeCell ref="Z140:AA140"/>
    <mergeCell ref="AB140:AC140"/>
    <mergeCell ref="AD140:AE140"/>
    <mergeCell ref="AF140:AG140"/>
    <mergeCell ref="AH140:AI140"/>
    <mergeCell ref="AJ140:AK140"/>
    <mergeCell ref="AL140:AM140"/>
    <mergeCell ref="AN140:AO140"/>
    <mergeCell ref="AP140:AQ140"/>
    <mergeCell ref="AR140:AS140"/>
    <mergeCell ref="BX140:BY140"/>
    <mergeCell ref="BZ140:CA140"/>
    <mergeCell ref="CB140:CC140"/>
    <mergeCell ref="AT140:AU140"/>
    <mergeCell ref="AV140:AW140"/>
    <mergeCell ref="AX140:AY140"/>
    <mergeCell ref="AZ140:BA140"/>
    <mergeCell ref="BB140:BC140"/>
    <mergeCell ref="BD140:BE140"/>
    <mergeCell ref="BF140:BG140"/>
    <mergeCell ref="BH140:BI140"/>
    <mergeCell ref="BJ140:BK140"/>
    <mergeCell ref="CV140:CW140"/>
    <mergeCell ref="CX140:CY140"/>
    <mergeCell ref="CZ140:DA140"/>
    <mergeCell ref="DB140:DC140"/>
    <mergeCell ref="DD140:DE140"/>
    <mergeCell ref="DF140:DG140"/>
    <mergeCell ref="DH140:DI140"/>
    <mergeCell ref="DJ140:DK140"/>
    <mergeCell ref="A145:DK145"/>
    <mergeCell ref="CD140:CE140"/>
    <mergeCell ref="CF140:CG140"/>
    <mergeCell ref="CH140:CI140"/>
    <mergeCell ref="CJ140:CK140"/>
    <mergeCell ref="CL140:CM140"/>
    <mergeCell ref="CN140:CO140"/>
    <mergeCell ref="CP140:CQ140"/>
    <mergeCell ref="CR140:CS140"/>
    <mergeCell ref="CT140:CU140"/>
    <mergeCell ref="BL140:BM140"/>
    <mergeCell ref="BN140:BO140"/>
    <mergeCell ref="BP140:BQ140"/>
    <mergeCell ref="BR140:BS140"/>
    <mergeCell ref="BT140:BU140"/>
    <mergeCell ref="BV140:BW140"/>
  </mergeCells>
  <pageMargins left="0.25" right="0.25" top="0.75" bottom="0.75" header="0.3" footer="0.3"/>
  <pageSetup paperSize="9" scale="5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H21" sqref="H21"/>
    </sheetView>
  </sheetViews>
  <sheetFormatPr defaultRowHeight="14.4" x14ac:dyDescent="0.3"/>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Диаграмма1</vt:lpstr>
      <vt:lpstr>Лист2</vt:lpstr>
      <vt:lpstr>Лист1</vt:lpstr>
      <vt:lpstr>Лист2!Область_печати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Oksana V. Kudelkina</dc:creator>
  <cp:lastModifiedBy>Oksana V. Kudelkina</cp:lastModifiedBy>
  <cp:revision>1</cp:revision>
  <dcterms:created xsi:type="dcterms:W3CDTF">2006-09-16T00:00:00Z</dcterms:created>
  <dcterms:modified xsi:type="dcterms:W3CDTF">2025-02-06T03:11:53Z</dcterms:modified>
</cp:coreProperties>
</file>